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0" windowWidth="15255" windowHeight="86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Лист1!$A$2:$Q$168</definedName>
  </definedNames>
  <calcPr calcId="125725" iterate="1"/>
</workbook>
</file>

<file path=xl/calcChain.xml><?xml version="1.0" encoding="utf-8"?>
<calcChain xmlns="http://schemas.openxmlformats.org/spreadsheetml/2006/main">
  <c r="D11" i="1"/>
  <c r="D12" s="1"/>
  <c r="E235"/>
  <c r="F235" s="1"/>
  <c r="G235" s="1"/>
  <c r="H235" s="1"/>
  <c r="I235" s="1"/>
  <c r="J235" s="1"/>
  <c r="K235" s="1"/>
  <c r="L235" s="1"/>
  <c r="M235" s="1"/>
  <c r="N235" s="1"/>
  <c r="O235" s="1"/>
  <c r="P235" s="1"/>
  <c r="Q235" s="1"/>
  <c r="F231"/>
  <c r="G231" s="1"/>
  <c r="H231" s="1"/>
  <c r="I231" s="1"/>
  <c r="J231" s="1"/>
  <c r="K231" s="1"/>
  <c r="L231" s="1"/>
  <c r="M231" s="1"/>
  <c r="N231" s="1"/>
  <c r="O231" s="1"/>
  <c r="P231" s="1"/>
  <c r="Q231" s="1"/>
  <c r="E231"/>
  <c r="E221"/>
  <c r="F221" s="1"/>
  <c r="G221" s="1"/>
  <c r="H221" s="1"/>
  <c r="I221" s="1"/>
  <c r="J221" s="1"/>
  <c r="K221" s="1"/>
  <c r="L221" s="1"/>
  <c r="M221" s="1"/>
  <c r="N221" s="1"/>
  <c r="O221" s="1"/>
  <c r="P221" s="1"/>
  <c r="Q221" s="1"/>
  <c r="D221"/>
  <c r="D218"/>
  <c r="E218" s="1"/>
  <c r="F218" s="1"/>
  <c r="G218" s="1"/>
  <c r="H218" s="1"/>
  <c r="I218" s="1"/>
  <c r="J218" s="1"/>
  <c r="K218" s="1"/>
  <c r="L218" s="1"/>
  <c r="M218" s="1"/>
  <c r="N218" s="1"/>
  <c r="O218" s="1"/>
  <c r="P218" s="1"/>
  <c r="Q218" s="1"/>
  <c r="D216"/>
  <c r="E216" s="1"/>
  <c r="F216" s="1"/>
  <c r="G216" s="1"/>
  <c r="H216" s="1"/>
  <c r="I216" s="1"/>
  <c r="J216" s="1"/>
  <c r="K216" s="1"/>
  <c r="L216" s="1"/>
  <c r="M216" s="1"/>
  <c r="N216" s="1"/>
  <c r="O216" s="1"/>
  <c r="P216" s="1"/>
  <c r="Q216" s="1"/>
  <c r="E197"/>
  <c r="F197" s="1"/>
  <c r="G197" s="1"/>
  <c r="H197" s="1"/>
  <c r="I197" s="1"/>
  <c r="J197" s="1"/>
  <c r="K197" s="1"/>
  <c r="L197" s="1"/>
  <c r="M197" s="1"/>
  <c r="N197" s="1"/>
  <c r="O197" s="1"/>
  <c r="P197" s="1"/>
  <c r="Q197" s="1"/>
  <c r="E198"/>
  <c r="F198" s="1"/>
  <c r="G198" s="1"/>
  <c r="H198" s="1"/>
  <c r="I198" s="1"/>
  <c r="J198" s="1"/>
  <c r="K198" s="1"/>
  <c r="L198" s="1"/>
  <c r="M198" s="1"/>
  <c r="N198" s="1"/>
  <c r="O198" s="1"/>
  <c r="P198" s="1"/>
  <c r="Q198" s="1"/>
  <c r="E201"/>
  <c r="F201" s="1"/>
  <c r="G201" s="1"/>
  <c r="H201" s="1"/>
  <c r="I201" s="1"/>
  <c r="J201" s="1"/>
  <c r="K201" s="1"/>
  <c r="L201" s="1"/>
  <c r="M201" s="1"/>
  <c r="N201" s="1"/>
  <c r="O201" s="1"/>
  <c r="P201" s="1"/>
  <c r="Q201" s="1"/>
  <c r="E205"/>
  <c r="F205" s="1"/>
  <c r="G205" s="1"/>
  <c r="H205" s="1"/>
  <c r="I205" s="1"/>
  <c r="J205" s="1"/>
  <c r="K205" s="1"/>
  <c r="L205" s="1"/>
  <c r="M205" s="1"/>
  <c r="N205" s="1"/>
  <c r="O205" s="1"/>
  <c r="P205" s="1"/>
  <c r="Q205" s="1"/>
  <c r="E206"/>
  <c r="F206" s="1"/>
  <c r="G206" s="1"/>
  <c r="H206" s="1"/>
  <c r="I206" s="1"/>
  <c r="J206" s="1"/>
  <c r="K206" s="1"/>
  <c r="L206" s="1"/>
  <c r="M206" s="1"/>
  <c r="N206" s="1"/>
  <c r="O206" s="1"/>
  <c r="P206" s="1"/>
  <c r="Q206" s="1"/>
  <c r="E209"/>
  <c r="F209" s="1"/>
  <c r="G209" s="1"/>
  <c r="H209" s="1"/>
  <c r="I209" s="1"/>
  <c r="J209" s="1"/>
  <c r="K209" s="1"/>
  <c r="L209" s="1"/>
  <c r="M209" s="1"/>
  <c r="N209" s="1"/>
  <c r="O209" s="1"/>
  <c r="P209" s="1"/>
  <c r="Q209" s="1"/>
  <c r="D196"/>
  <c r="E196" s="1"/>
  <c r="F196" s="1"/>
  <c r="G196" s="1"/>
  <c r="H196" s="1"/>
  <c r="I196" s="1"/>
  <c r="J196" s="1"/>
  <c r="K196" s="1"/>
  <c r="L196" s="1"/>
  <c r="M196" s="1"/>
  <c r="N196" s="1"/>
  <c r="O196" s="1"/>
  <c r="P196" s="1"/>
  <c r="Q196" s="1"/>
  <c r="D197"/>
  <c r="D198"/>
  <c r="D199"/>
  <c r="E199" s="1"/>
  <c r="F199" s="1"/>
  <c r="G199" s="1"/>
  <c r="H199" s="1"/>
  <c r="I199" s="1"/>
  <c r="J199" s="1"/>
  <c r="K199" s="1"/>
  <c r="L199" s="1"/>
  <c r="M199" s="1"/>
  <c r="N199" s="1"/>
  <c r="O199" s="1"/>
  <c r="P199" s="1"/>
  <c r="Q199" s="1"/>
  <c r="D200"/>
  <c r="E200" s="1"/>
  <c r="F200" s="1"/>
  <c r="G200" s="1"/>
  <c r="H200" s="1"/>
  <c r="I200" s="1"/>
  <c r="J200" s="1"/>
  <c r="K200" s="1"/>
  <c r="L200" s="1"/>
  <c r="M200" s="1"/>
  <c r="N200" s="1"/>
  <c r="O200" s="1"/>
  <c r="P200" s="1"/>
  <c r="Q200" s="1"/>
  <c r="D201"/>
  <c r="D202"/>
  <c r="E202" s="1"/>
  <c r="F202" s="1"/>
  <c r="G202" s="1"/>
  <c r="H202" s="1"/>
  <c r="I202" s="1"/>
  <c r="J202" s="1"/>
  <c r="K202" s="1"/>
  <c r="L202" s="1"/>
  <c r="M202" s="1"/>
  <c r="N202" s="1"/>
  <c r="O202" s="1"/>
  <c r="P202" s="1"/>
  <c r="Q202" s="1"/>
  <c r="D203"/>
  <c r="E203" s="1"/>
  <c r="F203" s="1"/>
  <c r="G203" s="1"/>
  <c r="H203" s="1"/>
  <c r="I203" s="1"/>
  <c r="J203" s="1"/>
  <c r="K203" s="1"/>
  <c r="L203" s="1"/>
  <c r="M203" s="1"/>
  <c r="N203" s="1"/>
  <c r="O203" s="1"/>
  <c r="P203" s="1"/>
  <c r="Q203" s="1"/>
  <c r="D204"/>
  <c r="E204" s="1"/>
  <c r="F204" s="1"/>
  <c r="G204" s="1"/>
  <c r="H204" s="1"/>
  <c r="I204" s="1"/>
  <c r="J204" s="1"/>
  <c r="K204" s="1"/>
  <c r="L204" s="1"/>
  <c r="M204" s="1"/>
  <c r="N204" s="1"/>
  <c r="O204" s="1"/>
  <c r="P204" s="1"/>
  <c r="Q204" s="1"/>
  <c r="D205"/>
  <c r="D206"/>
  <c r="D207"/>
  <c r="E207" s="1"/>
  <c r="F207" s="1"/>
  <c r="G207" s="1"/>
  <c r="H207" s="1"/>
  <c r="I207" s="1"/>
  <c r="J207" s="1"/>
  <c r="K207" s="1"/>
  <c r="L207" s="1"/>
  <c r="M207" s="1"/>
  <c r="N207" s="1"/>
  <c r="O207" s="1"/>
  <c r="P207" s="1"/>
  <c r="Q207" s="1"/>
  <c r="D208"/>
  <c r="E208" s="1"/>
  <c r="F208" s="1"/>
  <c r="G208" s="1"/>
  <c r="H208" s="1"/>
  <c r="I208" s="1"/>
  <c r="J208" s="1"/>
  <c r="K208" s="1"/>
  <c r="L208" s="1"/>
  <c r="M208" s="1"/>
  <c r="N208" s="1"/>
  <c r="O208" s="1"/>
  <c r="P208" s="1"/>
  <c r="Q208" s="1"/>
  <c r="D209"/>
  <c r="D210"/>
  <c r="E210" s="1"/>
  <c r="F210" s="1"/>
  <c r="G210" s="1"/>
  <c r="H210" s="1"/>
  <c r="I210" s="1"/>
  <c r="J210" s="1"/>
  <c r="K210" s="1"/>
  <c r="L210" s="1"/>
  <c r="M210" s="1"/>
  <c r="N210" s="1"/>
  <c r="O210" s="1"/>
  <c r="P210" s="1"/>
  <c r="Q210" s="1"/>
  <c r="D211"/>
  <c r="E211" s="1"/>
  <c r="F211" s="1"/>
  <c r="G211" s="1"/>
  <c r="H211" s="1"/>
  <c r="I211" s="1"/>
  <c r="J211" s="1"/>
  <c r="K211" s="1"/>
  <c r="L211" s="1"/>
  <c r="M211" s="1"/>
  <c r="N211" s="1"/>
  <c r="O211" s="1"/>
  <c r="P211" s="1"/>
  <c r="Q211" s="1"/>
  <c r="E195"/>
  <c r="F195" s="1"/>
  <c r="G195" s="1"/>
  <c r="H195" s="1"/>
  <c r="I195" s="1"/>
  <c r="J195" s="1"/>
  <c r="K195" s="1"/>
  <c r="L195" s="1"/>
  <c r="M195" s="1"/>
  <c r="N195" s="1"/>
  <c r="O195" s="1"/>
  <c r="P195" s="1"/>
  <c r="Q195" s="1"/>
  <c r="D195"/>
  <c r="E193"/>
  <c r="F193" s="1"/>
  <c r="G193" s="1"/>
  <c r="H193" s="1"/>
  <c r="I193" s="1"/>
  <c r="J193" s="1"/>
  <c r="K193" s="1"/>
  <c r="L193" s="1"/>
  <c r="M193" s="1"/>
  <c r="N193" s="1"/>
  <c r="O193" s="1"/>
  <c r="P193" s="1"/>
  <c r="Q193" s="1"/>
  <c r="D193"/>
  <c r="D192"/>
  <c r="E192" s="1"/>
  <c r="F192" s="1"/>
  <c r="G192" s="1"/>
  <c r="H192" s="1"/>
  <c r="I192" s="1"/>
  <c r="J192" s="1"/>
  <c r="K192" s="1"/>
  <c r="L192" s="1"/>
  <c r="M192" s="1"/>
  <c r="N192" s="1"/>
  <c r="O192" s="1"/>
  <c r="P192" s="1"/>
  <c r="Q192" s="1"/>
  <c r="C190"/>
  <c r="E188"/>
  <c r="F188" s="1"/>
  <c r="G188" s="1"/>
  <c r="H188" s="1"/>
  <c r="I188" s="1"/>
  <c r="J188" s="1"/>
  <c r="K188" s="1"/>
  <c r="L188" s="1"/>
  <c r="M188" s="1"/>
  <c r="N188" s="1"/>
  <c r="O188" s="1"/>
  <c r="P188" s="1"/>
  <c r="Q188" s="1"/>
  <c r="D187"/>
  <c r="E187" s="1"/>
  <c r="F187" s="1"/>
  <c r="G187" s="1"/>
  <c r="H187" s="1"/>
  <c r="I187" s="1"/>
  <c r="J187" s="1"/>
  <c r="K187" s="1"/>
  <c r="L187" s="1"/>
  <c r="M187" s="1"/>
  <c r="N187" s="1"/>
  <c r="O187" s="1"/>
  <c r="P187" s="1"/>
  <c r="Q187" s="1"/>
  <c r="D188"/>
  <c r="D186"/>
  <c r="E186" s="1"/>
  <c r="F186" s="1"/>
  <c r="G186" s="1"/>
  <c r="H186" s="1"/>
  <c r="I186" s="1"/>
  <c r="J186" s="1"/>
  <c r="K186" s="1"/>
  <c r="L186" s="1"/>
  <c r="M186" s="1"/>
  <c r="N186" s="1"/>
  <c r="O186" s="1"/>
  <c r="P186" s="1"/>
  <c r="Q186" s="1"/>
  <c r="D184"/>
  <c r="E184" s="1"/>
  <c r="F184" s="1"/>
  <c r="G184" s="1"/>
  <c r="H184" s="1"/>
  <c r="I184" s="1"/>
  <c r="J184" s="1"/>
  <c r="K184" s="1"/>
  <c r="L184" s="1"/>
  <c r="M184" s="1"/>
  <c r="N184" s="1"/>
  <c r="O184" s="1"/>
  <c r="P184" s="1"/>
  <c r="Q184" s="1"/>
  <c r="E181"/>
  <c r="F181" s="1"/>
  <c r="G181" s="1"/>
  <c r="H181" s="1"/>
  <c r="I181" s="1"/>
  <c r="J181" s="1"/>
  <c r="K181" s="1"/>
  <c r="L181" s="1"/>
  <c r="M181" s="1"/>
  <c r="N181" s="1"/>
  <c r="O181" s="1"/>
  <c r="P181" s="1"/>
  <c r="Q181" s="1"/>
  <c r="E180"/>
  <c r="F180" s="1"/>
  <c r="G180" s="1"/>
  <c r="H180" s="1"/>
  <c r="I180" s="1"/>
  <c r="J180" s="1"/>
  <c r="K180" s="1"/>
  <c r="L180" s="1"/>
  <c r="M180" s="1"/>
  <c r="N180" s="1"/>
  <c r="O180" s="1"/>
  <c r="P180" s="1"/>
  <c r="Q180" s="1"/>
  <c r="E179"/>
  <c r="F179" s="1"/>
  <c r="G179" s="1"/>
  <c r="H179" s="1"/>
  <c r="I179" s="1"/>
  <c r="J179" s="1"/>
  <c r="K179" s="1"/>
  <c r="L179" s="1"/>
  <c r="M179" s="1"/>
  <c r="N179" s="1"/>
  <c r="O179" s="1"/>
  <c r="P179" s="1"/>
  <c r="Q179" s="1"/>
  <c r="E177"/>
  <c r="F177" s="1"/>
  <c r="G177" s="1"/>
  <c r="H177" s="1"/>
  <c r="I177" s="1"/>
  <c r="J177" s="1"/>
  <c r="K177" s="1"/>
  <c r="L177" s="1"/>
  <c r="M177" s="1"/>
  <c r="N177" s="1"/>
  <c r="O177" s="1"/>
  <c r="P177" s="1"/>
  <c r="Q177" s="1"/>
  <c r="E176"/>
  <c r="F176" s="1"/>
  <c r="G176" s="1"/>
  <c r="H176" s="1"/>
  <c r="I176" s="1"/>
  <c r="J176" s="1"/>
  <c r="K176" s="1"/>
  <c r="L176" s="1"/>
  <c r="M176" s="1"/>
  <c r="N176" s="1"/>
  <c r="O176" s="1"/>
  <c r="P176" s="1"/>
  <c r="Q176" s="1"/>
  <c r="D175"/>
  <c r="E175" s="1"/>
  <c r="F175" s="1"/>
  <c r="G175" s="1"/>
  <c r="H175" s="1"/>
  <c r="I175" s="1"/>
  <c r="J175" s="1"/>
  <c r="K175" s="1"/>
  <c r="L175" s="1"/>
  <c r="M175" s="1"/>
  <c r="N175" s="1"/>
  <c r="O175" s="1"/>
  <c r="P175" s="1"/>
  <c r="Q175" s="1"/>
  <c r="D176"/>
  <c r="D177"/>
  <c r="D178"/>
  <c r="E178" s="1"/>
  <c r="F178" s="1"/>
  <c r="G178" s="1"/>
  <c r="H178" s="1"/>
  <c r="I178" s="1"/>
  <c r="J178" s="1"/>
  <c r="K178" s="1"/>
  <c r="L178" s="1"/>
  <c r="M178" s="1"/>
  <c r="N178" s="1"/>
  <c r="O178" s="1"/>
  <c r="P178" s="1"/>
  <c r="Q178" s="1"/>
  <c r="D179"/>
  <c r="D180"/>
  <c r="D181"/>
  <c r="D182"/>
  <c r="E182" s="1"/>
  <c r="F182" s="1"/>
  <c r="G182" s="1"/>
  <c r="H182" s="1"/>
  <c r="I182" s="1"/>
  <c r="J182" s="1"/>
  <c r="K182" s="1"/>
  <c r="L182" s="1"/>
  <c r="M182" s="1"/>
  <c r="N182" s="1"/>
  <c r="O182" s="1"/>
  <c r="P182" s="1"/>
  <c r="Q182" s="1"/>
  <c r="D183"/>
  <c r="E183" s="1"/>
  <c r="F183" s="1"/>
  <c r="G183" s="1"/>
  <c r="H183" s="1"/>
  <c r="I183" s="1"/>
  <c r="J183" s="1"/>
  <c r="K183" s="1"/>
  <c r="L183" s="1"/>
  <c r="M183" s="1"/>
  <c r="N183" s="1"/>
  <c r="O183" s="1"/>
  <c r="P183" s="1"/>
  <c r="Q183" s="1"/>
  <c r="D173"/>
  <c r="E173" s="1"/>
  <c r="D124"/>
  <c r="E124" s="1"/>
  <c r="F124" s="1"/>
  <c r="G124" s="1"/>
  <c r="H124" s="1"/>
  <c r="I124" s="1"/>
  <c r="J124" s="1"/>
  <c r="K124" s="1"/>
  <c r="L124" s="1"/>
  <c r="M124" s="1"/>
  <c r="N124" s="1"/>
  <c r="O124" s="1"/>
  <c r="P124" s="1"/>
  <c r="Q124" s="1"/>
  <c r="D123"/>
  <c r="E123" s="1"/>
  <c r="F123" s="1"/>
  <c r="G123" s="1"/>
  <c r="H123" s="1"/>
  <c r="I123" s="1"/>
  <c r="J123" s="1"/>
  <c r="K123" s="1"/>
  <c r="L123" s="1"/>
  <c r="M123" s="1"/>
  <c r="N123" s="1"/>
  <c r="O123" s="1"/>
  <c r="P123" s="1"/>
  <c r="Q123" s="1"/>
  <c r="D122"/>
  <c r="E122" s="1"/>
  <c r="F122" s="1"/>
  <c r="G122" s="1"/>
  <c r="H122" s="1"/>
  <c r="I122" s="1"/>
  <c r="J122" s="1"/>
  <c r="K122" s="1"/>
  <c r="L122" s="1"/>
  <c r="M122" s="1"/>
  <c r="N122" s="1"/>
  <c r="O122" s="1"/>
  <c r="P122" s="1"/>
  <c r="Q122" s="1"/>
  <c r="D115"/>
  <c r="E114"/>
  <c r="F114" s="1"/>
  <c r="E106"/>
  <c r="F106" s="1"/>
  <c r="G106" s="1"/>
  <c r="H106" s="1"/>
  <c r="I106" s="1"/>
  <c r="J106" s="1"/>
  <c r="K106" s="1"/>
  <c r="L106" s="1"/>
  <c r="M106" s="1"/>
  <c r="N106" s="1"/>
  <c r="O106" s="1"/>
  <c r="P106" s="1"/>
  <c r="Q106" s="1"/>
  <c r="E107"/>
  <c r="F107" s="1"/>
  <c r="G107" s="1"/>
  <c r="H107" s="1"/>
  <c r="I107" s="1"/>
  <c r="J107" s="1"/>
  <c r="K107" s="1"/>
  <c r="L107" s="1"/>
  <c r="M107" s="1"/>
  <c r="N107" s="1"/>
  <c r="O107" s="1"/>
  <c r="P107" s="1"/>
  <c r="Q107" s="1"/>
  <c r="E109"/>
  <c r="F109" s="1"/>
  <c r="G109" s="1"/>
  <c r="H109" s="1"/>
  <c r="I109" s="1"/>
  <c r="J109" s="1"/>
  <c r="K109" s="1"/>
  <c r="L109" s="1"/>
  <c r="M109" s="1"/>
  <c r="N109" s="1"/>
  <c r="O109" s="1"/>
  <c r="P109" s="1"/>
  <c r="Q109" s="1"/>
  <c r="E112"/>
  <c r="F112" s="1"/>
  <c r="G112" s="1"/>
  <c r="H112" s="1"/>
  <c r="I112" s="1"/>
  <c r="J112" s="1"/>
  <c r="K112" s="1"/>
  <c r="L112" s="1"/>
  <c r="M112" s="1"/>
  <c r="N112" s="1"/>
  <c r="O112" s="1"/>
  <c r="P112" s="1"/>
  <c r="Q112" s="1"/>
  <c r="D112"/>
  <c r="D104"/>
  <c r="E104" s="1"/>
  <c r="F104" s="1"/>
  <c r="G104" s="1"/>
  <c r="H104" s="1"/>
  <c r="I104" s="1"/>
  <c r="J104" s="1"/>
  <c r="K104" s="1"/>
  <c r="L104" s="1"/>
  <c r="M104" s="1"/>
  <c r="N104" s="1"/>
  <c r="O104" s="1"/>
  <c r="P104" s="1"/>
  <c r="Q104" s="1"/>
  <c r="D105"/>
  <c r="E105" s="1"/>
  <c r="F105" s="1"/>
  <c r="G105" s="1"/>
  <c r="H105" s="1"/>
  <c r="I105" s="1"/>
  <c r="J105" s="1"/>
  <c r="K105" s="1"/>
  <c r="L105" s="1"/>
  <c r="M105" s="1"/>
  <c r="N105" s="1"/>
  <c r="O105" s="1"/>
  <c r="P105" s="1"/>
  <c r="Q105" s="1"/>
  <c r="D106"/>
  <c r="D107"/>
  <c r="D108"/>
  <c r="E108" s="1"/>
  <c r="F108" s="1"/>
  <c r="G108" s="1"/>
  <c r="H108" s="1"/>
  <c r="I108" s="1"/>
  <c r="J108" s="1"/>
  <c r="K108" s="1"/>
  <c r="L108" s="1"/>
  <c r="M108" s="1"/>
  <c r="N108" s="1"/>
  <c r="O108" s="1"/>
  <c r="P108" s="1"/>
  <c r="Q108" s="1"/>
  <c r="D109"/>
  <c r="D110"/>
  <c r="E110" s="1"/>
  <c r="F110" s="1"/>
  <c r="G110" s="1"/>
  <c r="H110" s="1"/>
  <c r="I110" s="1"/>
  <c r="J110" s="1"/>
  <c r="K110" s="1"/>
  <c r="L110" s="1"/>
  <c r="M110" s="1"/>
  <c r="N110" s="1"/>
  <c r="O110" s="1"/>
  <c r="P110" s="1"/>
  <c r="Q110" s="1"/>
  <c r="D111"/>
  <c r="E111" s="1"/>
  <c r="F111" s="1"/>
  <c r="G111" s="1"/>
  <c r="H111" s="1"/>
  <c r="I111" s="1"/>
  <c r="J111" s="1"/>
  <c r="K111" s="1"/>
  <c r="L111" s="1"/>
  <c r="M111" s="1"/>
  <c r="N111" s="1"/>
  <c r="O111" s="1"/>
  <c r="P111" s="1"/>
  <c r="Q111" s="1"/>
  <c r="E102"/>
  <c r="F102" s="1"/>
  <c r="G102" s="1"/>
  <c r="H102" s="1"/>
  <c r="I102" s="1"/>
  <c r="J102" s="1"/>
  <c r="K102" s="1"/>
  <c r="L102" s="1"/>
  <c r="M102" s="1"/>
  <c r="N102" s="1"/>
  <c r="O102" s="1"/>
  <c r="P102" s="1"/>
  <c r="Q102" s="1"/>
  <c r="D102"/>
  <c r="F98"/>
  <c r="G98" s="1"/>
  <c r="H98" s="1"/>
  <c r="I98" s="1"/>
  <c r="J98" s="1"/>
  <c r="K98" s="1"/>
  <c r="L98" s="1"/>
  <c r="M98" s="1"/>
  <c r="N98" s="1"/>
  <c r="O98" s="1"/>
  <c r="P98" s="1"/>
  <c r="Q98" s="1"/>
  <c r="F95"/>
  <c r="G95" s="1"/>
  <c r="H95" s="1"/>
  <c r="I95" s="1"/>
  <c r="J95" s="1"/>
  <c r="K95" s="1"/>
  <c r="L95" s="1"/>
  <c r="M95" s="1"/>
  <c r="N95" s="1"/>
  <c r="O95" s="1"/>
  <c r="P95" s="1"/>
  <c r="Q95" s="1"/>
  <c r="E96"/>
  <c r="F96" s="1"/>
  <c r="G96" s="1"/>
  <c r="H96" s="1"/>
  <c r="I96" s="1"/>
  <c r="J96" s="1"/>
  <c r="K96" s="1"/>
  <c r="L96" s="1"/>
  <c r="M96" s="1"/>
  <c r="N96" s="1"/>
  <c r="O96" s="1"/>
  <c r="P96" s="1"/>
  <c r="Q96" s="1"/>
  <c r="E97"/>
  <c r="F97" s="1"/>
  <c r="G97" s="1"/>
  <c r="H97" s="1"/>
  <c r="I97" s="1"/>
  <c r="J97" s="1"/>
  <c r="K97" s="1"/>
  <c r="L97" s="1"/>
  <c r="M97" s="1"/>
  <c r="N97" s="1"/>
  <c r="O97" s="1"/>
  <c r="P97" s="1"/>
  <c r="Q97" s="1"/>
  <c r="E98"/>
  <c r="E99"/>
  <c r="F99" s="1"/>
  <c r="G99" s="1"/>
  <c r="H99" s="1"/>
  <c r="I99" s="1"/>
  <c r="J99" s="1"/>
  <c r="K99" s="1"/>
  <c r="L99" s="1"/>
  <c r="M99" s="1"/>
  <c r="N99" s="1"/>
  <c r="O99" s="1"/>
  <c r="P99" s="1"/>
  <c r="Q99" s="1"/>
  <c r="E100"/>
  <c r="F100" s="1"/>
  <c r="G100" s="1"/>
  <c r="H100" s="1"/>
  <c r="I100" s="1"/>
  <c r="J100" s="1"/>
  <c r="K100" s="1"/>
  <c r="L100" s="1"/>
  <c r="M100" s="1"/>
  <c r="N100" s="1"/>
  <c r="O100" s="1"/>
  <c r="P100" s="1"/>
  <c r="Q100" s="1"/>
  <c r="E101"/>
  <c r="F101" s="1"/>
  <c r="G101" s="1"/>
  <c r="H101" s="1"/>
  <c r="I101" s="1"/>
  <c r="J101" s="1"/>
  <c r="K101" s="1"/>
  <c r="L101" s="1"/>
  <c r="M101" s="1"/>
  <c r="N101" s="1"/>
  <c r="O101" s="1"/>
  <c r="P101" s="1"/>
  <c r="Q101" s="1"/>
  <c r="E95"/>
  <c r="E94"/>
  <c r="F94" s="1"/>
  <c r="G94" s="1"/>
  <c r="H94" s="1"/>
  <c r="I94" s="1"/>
  <c r="J94" s="1"/>
  <c r="K94" s="1"/>
  <c r="L94" s="1"/>
  <c r="M94" s="1"/>
  <c r="N94" s="1"/>
  <c r="O94" s="1"/>
  <c r="P94" s="1"/>
  <c r="Q94" s="1"/>
  <c r="E89"/>
  <c r="F89" s="1"/>
  <c r="G89" s="1"/>
  <c r="H89" s="1"/>
  <c r="I89" s="1"/>
  <c r="J89" s="1"/>
  <c r="K89" s="1"/>
  <c r="L89" s="1"/>
  <c r="M89" s="1"/>
  <c r="N89" s="1"/>
  <c r="O89" s="1"/>
  <c r="P89" s="1"/>
  <c r="Q89" s="1"/>
  <c r="F79"/>
  <c r="G79" s="1"/>
  <c r="H79" s="1"/>
  <c r="I79" s="1"/>
  <c r="J79" s="1"/>
  <c r="K79" s="1"/>
  <c r="L79" s="1"/>
  <c r="M79" s="1"/>
  <c r="N79" s="1"/>
  <c r="O79" s="1"/>
  <c r="P79" s="1"/>
  <c r="Q79" s="1"/>
  <c r="Q80" s="1"/>
  <c r="E79"/>
  <c r="E80" s="1"/>
  <c r="D80"/>
  <c r="E83"/>
  <c r="F83" s="1"/>
  <c r="G83" s="1"/>
  <c r="H83" s="1"/>
  <c r="I83" s="1"/>
  <c r="J83" s="1"/>
  <c r="K83" s="1"/>
  <c r="D76"/>
  <c r="E85"/>
  <c r="F85" s="1"/>
  <c r="G85" s="1"/>
  <c r="H85" s="1"/>
  <c r="I85" s="1"/>
  <c r="J85" s="1"/>
  <c r="K85" s="1"/>
  <c r="L85" s="1"/>
  <c r="M85" s="1"/>
  <c r="N85" s="1"/>
  <c r="O85" s="1"/>
  <c r="P85" s="1"/>
  <c r="Q85" s="1"/>
  <c r="D85"/>
  <c r="D83"/>
  <c r="D84" s="1"/>
  <c r="D81"/>
  <c r="D82" s="1"/>
  <c r="D79"/>
  <c r="D75"/>
  <c r="E75" s="1"/>
  <c r="D71"/>
  <c r="E71" s="1"/>
  <c r="D70"/>
  <c r="E69"/>
  <c r="E70" s="1"/>
  <c r="D69"/>
  <c r="D64"/>
  <c r="E64" s="1"/>
  <c r="E61"/>
  <c r="F61" s="1"/>
  <c r="G61" s="1"/>
  <c r="H61" s="1"/>
  <c r="I61" s="1"/>
  <c r="J61" s="1"/>
  <c r="D61"/>
  <c r="D62" s="1"/>
  <c r="D58"/>
  <c r="D59" s="1"/>
  <c r="H51"/>
  <c r="D54"/>
  <c r="E53"/>
  <c r="F53" s="1"/>
  <c r="D23"/>
  <c r="D24" s="1"/>
  <c r="E11"/>
  <c r="F11" s="1"/>
  <c r="G11" s="1"/>
  <c r="H11" s="1"/>
  <c r="E240"/>
  <c r="F240" s="1"/>
  <c r="G240" s="1"/>
  <c r="H240" s="1"/>
  <c r="I240" s="1"/>
  <c r="J240" s="1"/>
  <c r="K240" s="1"/>
  <c r="L240" s="1"/>
  <c r="M240" s="1"/>
  <c r="N240" s="1"/>
  <c r="O240" s="1"/>
  <c r="P240" s="1"/>
  <c r="Q240" s="1"/>
  <c r="D240"/>
  <c r="E238"/>
  <c r="F238" s="1"/>
  <c r="G238" s="1"/>
  <c r="H238" s="1"/>
  <c r="I238" s="1"/>
  <c r="J238" s="1"/>
  <c r="K238" s="1"/>
  <c r="L238" s="1"/>
  <c r="M238" s="1"/>
  <c r="N238" s="1"/>
  <c r="O238" s="1"/>
  <c r="P238" s="1"/>
  <c r="Q238" s="1"/>
  <c r="E239"/>
  <c r="F239" s="1"/>
  <c r="G239" s="1"/>
  <c r="H239" s="1"/>
  <c r="I239" s="1"/>
  <c r="J239" s="1"/>
  <c r="K239" s="1"/>
  <c r="L239" s="1"/>
  <c r="M239" s="1"/>
  <c r="N239" s="1"/>
  <c r="O239" s="1"/>
  <c r="P239" s="1"/>
  <c r="Q239" s="1"/>
  <c r="D239"/>
  <c r="E65" l="1"/>
  <c r="F64"/>
  <c r="F71"/>
  <c r="G71" s="1"/>
  <c r="H71" s="1"/>
  <c r="I71" s="1"/>
  <c r="J71" s="1"/>
  <c r="E72"/>
  <c r="F54"/>
  <c r="G53"/>
  <c r="H53" s="1"/>
  <c r="I53" s="1"/>
  <c r="G114"/>
  <c r="F115"/>
  <c r="E76"/>
  <c r="F75"/>
  <c r="G75" s="1"/>
  <c r="H75" s="1"/>
  <c r="I75" s="1"/>
  <c r="J75" s="1"/>
  <c r="K75" s="1"/>
  <c r="L75" s="1"/>
  <c r="M75" s="1"/>
  <c r="N75" s="1"/>
  <c r="O75" s="1"/>
  <c r="P75" s="1"/>
  <c r="Q75" s="1"/>
  <c r="F173"/>
  <c r="E190"/>
  <c r="E54"/>
  <c r="E81"/>
  <c r="D190"/>
  <c r="E62"/>
  <c r="D65"/>
  <c r="F69"/>
  <c r="E84"/>
  <c r="E115"/>
  <c r="E23"/>
  <c r="E58"/>
  <c r="D72"/>
  <c r="D67"/>
  <c r="J11"/>
  <c r="I11"/>
  <c r="E12"/>
  <c r="O80"/>
  <c r="K80"/>
  <c r="G80"/>
  <c r="M80"/>
  <c r="I80"/>
  <c r="P80"/>
  <c r="N80"/>
  <c r="L80"/>
  <c r="J80"/>
  <c r="H80"/>
  <c r="F80"/>
  <c r="G84"/>
  <c r="H84"/>
  <c r="F84"/>
  <c r="Q76"/>
  <c r="N76"/>
  <c r="L76"/>
  <c r="J76"/>
  <c r="H76"/>
  <c r="F76"/>
  <c r="E67"/>
  <c r="O76"/>
  <c r="M76"/>
  <c r="K76"/>
  <c r="I76"/>
  <c r="G76"/>
  <c r="K61"/>
  <c r="I62"/>
  <c r="G62"/>
  <c r="J62"/>
  <c r="H62"/>
  <c r="F62"/>
  <c r="H54"/>
  <c r="I54"/>
  <c r="G54"/>
  <c r="C226"/>
  <c r="C227"/>
  <c r="C228"/>
  <c r="D230"/>
  <c r="E230"/>
  <c r="F230"/>
  <c r="G230"/>
  <c r="H230"/>
  <c r="I230"/>
  <c r="J230"/>
  <c r="K230"/>
  <c r="L230"/>
  <c r="M230"/>
  <c r="N230"/>
  <c r="O230"/>
  <c r="P230"/>
  <c r="Q230"/>
  <c r="C230"/>
  <c r="D228"/>
  <c r="E228"/>
  <c r="D227"/>
  <c r="E227"/>
  <c r="D226"/>
  <c r="E226"/>
  <c r="C225"/>
  <c r="D225"/>
  <c r="E225"/>
  <c r="D224"/>
  <c r="E224"/>
  <c r="C224"/>
  <c r="D223"/>
  <c r="E223"/>
  <c r="C223"/>
  <c r="D51"/>
  <c r="D52" s="1"/>
  <c r="D49"/>
  <c r="E49" s="1"/>
  <c r="F49" s="1"/>
  <c r="G49" s="1"/>
  <c r="H49" s="1"/>
  <c r="D47"/>
  <c r="E47" s="1"/>
  <c r="D45"/>
  <c r="D46" s="1"/>
  <c r="D15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D19"/>
  <c r="D20" s="1"/>
  <c r="E24" l="1"/>
  <c r="F23"/>
  <c r="E59"/>
  <c r="F58"/>
  <c r="G69"/>
  <c r="F70"/>
  <c r="F81"/>
  <c r="E82"/>
  <c r="K53"/>
  <c r="J53"/>
  <c r="J54" s="1"/>
  <c r="F65"/>
  <c r="G64"/>
  <c r="H72"/>
  <c r="I72"/>
  <c r="F72"/>
  <c r="G72"/>
  <c r="G173"/>
  <c r="F190"/>
  <c r="H114"/>
  <c r="G115"/>
  <c r="K71"/>
  <c r="L61"/>
  <c r="J72"/>
  <c r="F67"/>
  <c r="K11"/>
  <c r="L11" s="1"/>
  <c r="M11" s="1"/>
  <c r="N11" s="1"/>
  <c r="O11" s="1"/>
  <c r="P11" s="1"/>
  <c r="Q11" s="1"/>
  <c r="I84"/>
  <c r="P76"/>
  <c r="K62"/>
  <c r="D50"/>
  <c r="E45"/>
  <c r="E46" s="1"/>
  <c r="D48"/>
  <c r="F47"/>
  <c r="G47" s="1"/>
  <c r="H47" s="1"/>
  <c r="I47" s="1"/>
  <c r="J47" s="1"/>
  <c r="E48"/>
  <c r="E19"/>
  <c r="E51"/>
  <c r="F45"/>
  <c r="G45" s="1"/>
  <c r="H45" s="1"/>
  <c r="I45" s="1"/>
  <c r="J45" s="1"/>
  <c r="K45" s="1"/>
  <c r="L45" s="1"/>
  <c r="E50"/>
  <c r="F50"/>
  <c r="G48"/>
  <c r="F48"/>
  <c r="G158"/>
  <c r="H158" s="1"/>
  <c r="I158" s="1"/>
  <c r="J158" s="1"/>
  <c r="K158" s="1"/>
  <c r="L158" s="1"/>
  <c r="M158" s="1"/>
  <c r="N158" s="1"/>
  <c r="O158" s="1"/>
  <c r="P158" s="1"/>
  <c r="Q158" s="1"/>
  <c r="G159"/>
  <c r="H159" s="1"/>
  <c r="I159" s="1"/>
  <c r="J159" s="1"/>
  <c r="K159" s="1"/>
  <c r="L159" s="1"/>
  <c r="M159" s="1"/>
  <c r="N159" s="1"/>
  <c r="O159" s="1"/>
  <c r="P159" s="1"/>
  <c r="Q159" s="1"/>
  <c r="G160"/>
  <c r="H160" s="1"/>
  <c r="I160" s="1"/>
  <c r="J160" s="1"/>
  <c r="K160" s="1"/>
  <c r="L160" s="1"/>
  <c r="M160" s="1"/>
  <c r="N160" s="1"/>
  <c r="O160" s="1"/>
  <c r="P160" s="1"/>
  <c r="Q160" s="1"/>
  <c r="G161"/>
  <c r="H161" s="1"/>
  <c r="I161" s="1"/>
  <c r="J161" s="1"/>
  <c r="K161" s="1"/>
  <c r="L161" s="1"/>
  <c r="M161" s="1"/>
  <c r="N161" s="1"/>
  <c r="O161" s="1"/>
  <c r="P161" s="1"/>
  <c r="Q161" s="1"/>
  <c r="G163"/>
  <c r="H163" s="1"/>
  <c r="I163" s="1"/>
  <c r="J163" s="1"/>
  <c r="K163" s="1"/>
  <c r="L163" s="1"/>
  <c r="M163" s="1"/>
  <c r="N163" s="1"/>
  <c r="O163" s="1"/>
  <c r="P163" s="1"/>
  <c r="Q163" s="1"/>
  <c r="G165"/>
  <c r="H165" s="1"/>
  <c r="I165" s="1"/>
  <c r="J165" s="1"/>
  <c r="K165" s="1"/>
  <c r="L165" s="1"/>
  <c r="M165" s="1"/>
  <c r="N165" s="1"/>
  <c r="O165" s="1"/>
  <c r="P165" s="1"/>
  <c r="Q165" s="1"/>
  <c r="G167"/>
  <c r="H167" s="1"/>
  <c r="I167" s="1"/>
  <c r="J167" s="1"/>
  <c r="K167" s="1"/>
  <c r="L167" s="1"/>
  <c r="M167" s="1"/>
  <c r="N167" s="1"/>
  <c r="O167" s="1"/>
  <c r="P167" s="1"/>
  <c r="Q167" s="1"/>
  <c r="G168"/>
  <c r="H168" s="1"/>
  <c r="I168" s="1"/>
  <c r="J168" s="1"/>
  <c r="K168" s="1"/>
  <c r="L168" s="1"/>
  <c r="M168" s="1"/>
  <c r="N168" s="1"/>
  <c r="O168" s="1"/>
  <c r="P168" s="1"/>
  <c r="Q168" s="1"/>
  <c r="G152"/>
  <c r="H152" s="1"/>
  <c r="I152" s="1"/>
  <c r="J152" s="1"/>
  <c r="K152" s="1"/>
  <c r="L152" s="1"/>
  <c r="M152" s="1"/>
  <c r="N152" s="1"/>
  <c r="O152" s="1"/>
  <c r="P152" s="1"/>
  <c r="Q152" s="1"/>
  <c r="G154"/>
  <c r="H154" s="1"/>
  <c r="I154" s="1"/>
  <c r="J154" s="1"/>
  <c r="K154" s="1"/>
  <c r="L154" s="1"/>
  <c r="M154" s="1"/>
  <c r="N154" s="1"/>
  <c r="O154" s="1"/>
  <c r="P154" s="1"/>
  <c r="Q154" s="1"/>
  <c r="G155"/>
  <c r="H155" s="1"/>
  <c r="I155" s="1"/>
  <c r="J155" s="1"/>
  <c r="K155" s="1"/>
  <c r="L155" s="1"/>
  <c r="M155" s="1"/>
  <c r="N155" s="1"/>
  <c r="O155" s="1"/>
  <c r="P155" s="1"/>
  <c r="Q155" s="1"/>
  <c r="G156"/>
  <c r="H156" s="1"/>
  <c r="I156" s="1"/>
  <c r="J156" s="1"/>
  <c r="K156" s="1"/>
  <c r="L156" s="1"/>
  <c r="M156" s="1"/>
  <c r="N156" s="1"/>
  <c r="O156" s="1"/>
  <c r="P156" s="1"/>
  <c r="Q156" s="1"/>
  <c r="G145"/>
  <c r="H145" s="1"/>
  <c r="I145" s="1"/>
  <c r="J145" s="1"/>
  <c r="K145" s="1"/>
  <c r="L145" s="1"/>
  <c r="M145" s="1"/>
  <c r="N145" s="1"/>
  <c r="O145" s="1"/>
  <c r="P145" s="1"/>
  <c r="Q145" s="1"/>
  <c r="G147"/>
  <c r="H147" s="1"/>
  <c r="I147" s="1"/>
  <c r="J147" s="1"/>
  <c r="K147" s="1"/>
  <c r="L147" s="1"/>
  <c r="M147" s="1"/>
  <c r="N147" s="1"/>
  <c r="O147" s="1"/>
  <c r="P147" s="1"/>
  <c r="Q147" s="1"/>
  <c r="G148"/>
  <c r="H148" s="1"/>
  <c r="I148" s="1"/>
  <c r="J148" s="1"/>
  <c r="K148" s="1"/>
  <c r="L148" s="1"/>
  <c r="M148" s="1"/>
  <c r="N148" s="1"/>
  <c r="O148" s="1"/>
  <c r="P148" s="1"/>
  <c r="Q148" s="1"/>
  <c r="G149"/>
  <c r="H149" s="1"/>
  <c r="I149" s="1"/>
  <c r="J149" s="1"/>
  <c r="K149" s="1"/>
  <c r="L149" s="1"/>
  <c r="M149" s="1"/>
  <c r="N149" s="1"/>
  <c r="O149" s="1"/>
  <c r="P149" s="1"/>
  <c r="Q149" s="1"/>
  <c r="G150"/>
  <c r="H150" s="1"/>
  <c r="I150" s="1"/>
  <c r="J150" s="1"/>
  <c r="K150" s="1"/>
  <c r="L150" s="1"/>
  <c r="M150" s="1"/>
  <c r="N150" s="1"/>
  <c r="O150" s="1"/>
  <c r="P150" s="1"/>
  <c r="Q150" s="1"/>
  <c r="G138"/>
  <c r="H138" s="1"/>
  <c r="I138" s="1"/>
  <c r="J138" s="1"/>
  <c r="K138" s="1"/>
  <c r="L138" s="1"/>
  <c r="M138" s="1"/>
  <c r="N138" s="1"/>
  <c r="O138" s="1"/>
  <c r="P138" s="1"/>
  <c r="Q138" s="1"/>
  <c r="G140"/>
  <c r="H140" s="1"/>
  <c r="I140" s="1"/>
  <c r="J140" s="1"/>
  <c r="K140" s="1"/>
  <c r="L140" s="1"/>
  <c r="M140" s="1"/>
  <c r="N140" s="1"/>
  <c r="O140" s="1"/>
  <c r="P140" s="1"/>
  <c r="Q140" s="1"/>
  <c r="G141"/>
  <c r="H141" s="1"/>
  <c r="I141" s="1"/>
  <c r="J141" s="1"/>
  <c r="K141" s="1"/>
  <c r="L141" s="1"/>
  <c r="M141" s="1"/>
  <c r="N141" s="1"/>
  <c r="O141" s="1"/>
  <c r="P141" s="1"/>
  <c r="Q141" s="1"/>
  <c r="G142"/>
  <c r="H142" s="1"/>
  <c r="I142" s="1"/>
  <c r="J142" s="1"/>
  <c r="K142" s="1"/>
  <c r="L142" s="1"/>
  <c r="M142" s="1"/>
  <c r="N142" s="1"/>
  <c r="O142" s="1"/>
  <c r="P142" s="1"/>
  <c r="Q142" s="1"/>
  <c r="G134"/>
  <c r="H134" s="1"/>
  <c r="I134" s="1"/>
  <c r="J134" s="1"/>
  <c r="K134" s="1"/>
  <c r="L134" s="1"/>
  <c r="M134" s="1"/>
  <c r="N134" s="1"/>
  <c r="O134" s="1"/>
  <c r="P134" s="1"/>
  <c r="Q134" s="1"/>
  <c r="G135"/>
  <c r="H135" s="1"/>
  <c r="I135" s="1"/>
  <c r="J135" s="1"/>
  <c r="K135" s="1"/>
  <c r="L135" s="1"/>
  <c r="M135" s="1"/>
  <c r="N135" s="1"/>
  <c r="O135" s="1"/>
  <c r="P135" s="1"/>
  <c r="Q135" s="1"/>
  <c r="G136"/>
  <c r="H136" s="1"/>
  <c r="I136" s="1"/>
  <c r="J136" s="1"/>
  <c r="K136" s="1"/>
  <c r="L136" s="1"/>
  <c r="M136" s="1"/>
  <c r="N136" s="1"/>
  <c r="O136" s="1"/>
  <c r="P136" s="1"/>
  <c r="Q136" s="1"/>
  <c r="G137"/>
  <c r="H137" s="1"/>
  <c r="I137" s="1"/>
  <c r="J137" s="1"/>
  <c r="K137" s="1"/>
  <c r="L137" s="1"/>
  <c r="M137" s="1"/>
  <c r="N137" s="1"/>
  <c r="O137" s="1"/>
  <c r="P137" s="1"/>
  <c r="Q137" s="1"/>
  <c r="G132"/>
  <c r="H132" s="1"/>
  <c r="I132" s="1"/>
  <c r="J132" s="1"/>
  <c r="K132" s="1"/>
  <c r="L132" s="1"/>
  <c r="M132" s="1"/>
  <c r="N132" s="1"/>
  <c r="O132" s="1"/>
  <c r="P132" s="1"/>
  <c r="Q132" s="1"/>
  <c r="G129"/>
  <c r="H129" s="1"/>
  <c r="I129" s="1"/>
  <c r="J129" s="1"/>
  <c r="K129" s="1"/>
  <c r="L129" s="1"/>
  <c r="M129" s="1"/>
  <c r="N129" s="1"/>
  <c r="O129" s="1"/>
  <c r="P129" s="1"/>
  <c r="Q129" s="1"/>
  <c r="G130"/>
  <c r="H130" s="1"/>
  <c r="I130" s="1"/>
  <c r="J130" s="1"/>
  <c r="K130" s="1"/>
  <c r="L130" s="1"/>
  <c r="M130" s="1"/>
  <c r="N130" s="1"/>
  <c r="O130" s="1"/>
  <c r="P130" s="1"/>
  <c r="Q130" s="1"/>
  <c r="G128"/>
  <c r="H128" s="1"/>
  <c r="I128" s="1"/>
  <c r="J128" s="1"/>
  <c r="K128" s="1"/>
  <c r="L128" s="1"/>
  <c r="M128" s="1"/>
  <c r="N128" s="1"/>
  <c r="O128" s="1"/>
  <c r="P128" s="1"/>
  <c r="Q128" s="1"/>
  <c r="I114" l="1"/>
  <c r="H115"/>
  <c r="G81"/>
  <c r="F82"/>
  <c r="H173"/>
  <c r="G190"/>
  <c r="M53"/>
  <c r="L53"/>
  <c r="L54" s="1"/>
  <c r="K54"/>
  <c r="H69"/>
  <c r="G70"/>
  <c r="L71"/>
  <c r="K72"/>
  <c r="G23"/>
  <c r="F24"/>
  <c r="M61"/>
  <c r="L62"/>
  <c r="H64"/>
  <c r="G65"/>
  <c r="G58"/>
  <c r="F59"/>
  <c r="J84"/>
  <c r="F12"/>
  <c r="F223"/>
  <c r="F225"/>
  <c r="F224"/>
  <c r="F228"/>
  <c r="F227"/>
  <c r="F226"/>
  <c r="G46"/>
  <c r="K46"/>
  <c r="H46"/>
  <c r="I46"/>
  <c r="F46"/>
  <c r="J46"/>
  <c r="H48"/>
  <c r="I48"/>
  <c r="K47"/>
  <c r="E52"/>
  <c r="F51"/>
  <c r="M45"/>
  <c r="L46"/>
  <c r="E20"/>
  <c r="F19"/>
  <c r="G19" s="1"/>
  <c r="H19" s="1"/>
  <c r="J48"/>
  <c r="G50"/>
  <c r="I64" l="1"/>
  <c r="H65"/>
  <c r="I23"/>
  <c r="H23"/>
  <c r="H24" s="1"/>
  <c r="G24"/>
  <c r="N53"/>
  <c r="M54"/>
  <c r="H81"/>
  <c r="G82"/>
  <c r="H58"/>
  <c r="G59"/>
  <c r="N61"/>
  <c r="M62"/>
  <c r="M71"/>
  <c r="L72"/>
  <c r="I173"/>
  <c r="H190"/>
  <c r="J114"/>
  <c r="I115"/>
  <c r="I69"/>
  <c r="H70"/>
  <c r="G67"/>
  <c r="L83"/>
  <c r="M83" s="1"/>
  <c r="N83" s="1"/>
  <c r="O83" s="1"/>
  <c r="P83" s="1"/>
  <c r="Q83" s="1"/>
  <c r="K84"/>
  <c r="G12"/>
  <c r="G228"/>
  <c r="G227"/>
  <c r="G226"/>
  <c r="G225"/>
  <c r="G224"/>
  <c r="G223"/>
  <c r="F20"/>
  <c r="G51"/>
  <c r="F52"/>
  <c r="L47"/>
  <c r="K48"/>
  <c r="N45"/>
  <c r="M46"/>
  <c r="I49"/>
  <c r="J49" s="1"/>
  <c r="K49" s="1"/>
  <c r="L49" s="1"/>
  <c r="M49" s="1"/>
  <c r="N49" s="1"/>
  <c r="O49" s="1"/>
  <c r="P49" s="1"/>
  <c r="Q49" s="1"/>
  <c r="H50"/>
  <c r="G20"/>
  <c r="K23" l="1"/>
  <c r="J23"/>
  <c r="J24" s="1"/>
  <c r="I24"/>
  <c r="J69"/>
  <c r="I70"/>
  <c r="J173"/>
  <c r="I190"/>
  <c r="O61"/>
  <c r="N62"/>
  <c r="I81"/>
  <c r="H82"/>
  <c r="J64"/>
  <c r="I65"/>
  <c r="K114"/>
  <c r="J115"/>
  <c r="N71"/>
  <c r="M72"/>
  <c r="I58"/>
  <c r="H59"/>
  <c r="O53"/>
  <c r="N54"/>
  <c r="H67"/>
  <c r="L84"/>
  <c r="H12"/>
  <c r="H225"/>
  <c r="H224"/>
  <c r="H223"/>
  <c r="H228"/>
  <c r="H227"/>
  <c r="H226"/>
  <c r="O45"/>
  <c r="N46"/>
  <c r="L48"/>
  <c r="M47"/>
  <c r="G52"/>
  <c r="I50"/>
  <c r="I19"/>
  <c r="J19" s="1"/>
  <c r="H20"/>
  <c r="J58" l="1"/>
  <c r="I59"/>
  <c r="L114"/>
  <c r="K115"/>
  <c r="J81"/>
  <c r="I82"/>
  <c r="K173"/>
  <c r="J190"/>
  <c r="K69"/>
  <c r="J70"/>
  <c r="J67"/>
  <c r="P53"/>
  <c r="O54"/>
  <c r="O71"/>
  <c r="N72"/>
  <c r="K64"/>
  <c r="J65"/>
  <c r="P61"/>
  <c r="O62"/>
  <c r="L23"/>
  <c r="K24"/>
  <c r="I67"/>
  <c r="M84"/>
  <c r="I12"/>
  <c r="I228"/>
  <c r="I227"/>
  <c r="I226"/>
  <c r="I225"/>
  <c r="I224"/>
  <c r="I223"/>
  <c r="N47"/>
  <c r="M48"/>
  <c r="I51"/>
  <c r="H52"/>
  <c r="P45"/>
  <c r="O46"/>
  <c r="J50"/>
  <c r="I20"/>
  <c r="L173" l="1"/>
  <c r="K190"/>
  <c r="M114"/>
  <c r="L115"/>
  <c r="L24"/>
  <c r="M23"/>
  <c r="L64"/>
  <c r="K65"/>
  <c r="Q53"/>
  <c r="Q54" s="1"/>
  <c r="P54"/>
  <c r="L69"/>
  <c r="K70"/>
  <c r="K67"/>
  <c r="K81"/>
  <c r="J82"/>
  <c r="K58"/>
  <c r="K59" s="1"/>
  <c r="J59"/>
  <c r="Q61"/>
  <c r="Q62" s="1"/>
  <c r="P62"/>
  <c r="P71"/>
  <c r="O72"/>
  <c r="N84"/>
  <c r="J12"/>
  <c r="J225"/>
  <c r="J224"/>
  <c r="J223"/>
  <c r="J228"/>
  <c r="J227"/>
  <c r="J226"/>
  <c r="J51"/>
  <c r="I52"/>
  <c r="O47"/>
  <c r="N48"/>
  <c r="Q45"/>
  <c r="Q46" s="1"/>
  <c r="P46"/>
  <c r="K50"/>
  <c r="K19"/>
  <c r="J20"/>
  <c r="M173" l="1"/>
  <c r="L190"/>
  <c r="L81"/>
  <c r="K82"/>
  <c r="N23"/>
  <c r="M24"/>
  <c r="M69"/>
  <c r="L70"/>
  <c r="L67"/>
  <c r="M64"/>
  <c r="L65"/>
  <c r="N114"/>
  <c r="M115"/>
  <c r="Q71"/>
  <c r="Q72" s="1"/>
  <c r="P72"/>
  <c r="L58"/>
  <c r="O84"/>
  <c r="K12"/>
  <c r="K228"/>
  <c r="K227"/>
  <c r="K226"/>
  <c r="K225"/>
  <c r="K224"/>
  <c r="K223"/>
  <c r="O48"/>
  <c r="P47"/>
  <c r="K51"/>
  <c r="J52"/>
  <c r="L50"/>
  <c r="L19"/>
  <c r="K20"/>
  <c r="O114" l="1"/>
  <c r="N115"/>
  <c r="N173"/>
  <c r="M190"/>
  <c r="O23"/>
  <c r="N24"/>
  <c r="N64"/>
  <c r="M65"/>
  <c r="M81"/>
  <c r="L82"/>
  <c r="M58"/>
  <c r="L59"/>
  <c r="N69"/>
  <c r="M70"/>
  <c r="Q84"/>
  <c r="P84"/>
  <c r="L12"/>
  <c r="L225"/>
  <c r="L224"/>
  <c r="L223"/>
  <c r="L228"/>
  <c r="L227"/>
  <c r="L226"/>
  <c r="P48"/>
  <c r="Q47"/>
  <c r="Q48" s="1"/>
  <c r="L51"/>
  <c r="K52"/>
  <c r="M50"/>
  <c r="M19"/>
  <c r="L20"/>
  <c r="O69" l="1"/>
  <c r="N70"/>
  <c r="N67"/>
  <c r="N81"/>
  <c r="M82"/>
  <c r="O24"/>
  <c r="P23"/>
  <c r="N58"/>
  <c r="M59"/>
  <c r="O64"/>
  <c r="N65"/>
  <c r="O173"/>
  <c r="N190"/>
  <c r="M67"/>
  <c r="P114"/>
  <c r="O115"/>
  <c r="M12"/>
  <c r="M228"/>
  <c r="M227"/>
  <c r="M226"/>
  <c r="M225"/>
  <c r="M224"/>
  <c r="M223"/>
  <c r="M51"/>
  <c r="L52"/>
  <c r="N50"/>
  <c r="N19"/>
  <c r="M20"/>
  <c r="P69" l="1"/>
  <c r="O70"/>
  <c r="P64"/>
  <c r="O65"/>
  <c r="Q114"/>
  <c r="Q115" s="1"/>
  <c r="P115"/>
  <c r="P24"/>
  <c r="Q23"/>
  <c r="Q24" s="1"/>
  <c r="P173"/>
  <c r="O190"/>
  <c r="O58"/>
  <c r="N59"/>
  <c r="O81"/>
  <c r="N82"/>
  <c r="N12"/>
  <c r="N225"/>
  <c r="N224"/>
  <c r="N223"/>
  <c r="N228"/>
  <c r="N227"/>
  <c r="N226"/>
  <c r="M52"/>
  <c r="N51"/>
  <c r="O50"/>
  <c r="O19"/>
  <c r="N20"/>
  <c r="P81" l="1"/>
  <c r="O82"/>
  <c r="Q173"/>
  <c r="Q190" s="1"/>
  <c r="P190"/>
  <c r="O67"/>
  <c r="Q69"/>
  <c r="P70"/>
  <c r="P58"/>
  <c r="O59"/>
  <c r="Q64"/>
  <c r="Q65" s="1"/>
  <c r="P65"/>
  <c r="O12"/>
  <c r="O228"/>
  <c r="O227"/>
  <c r="O226"/>
  <c r="O225"/>
  <c r="O224"/>
  <c r="O223"/>
  <c r="O51"/>
  <c r="N52"/>
  <c r="Q50"/>
  <c r="P50"/>
  <c r="P19"/>
  <c r="O20"/>
  <c r="P59" l="1"/>
  <c r="Q58"/>
  <c r="Q59" s="1"/>
  <c r="Q81"/>
  <c r="Q82" s="1"/>
  <c r="P82"/>
  <c r="Q70"/>
  <c r="Q67"/>
  <c r="P67"/>
  <c r="P12"/>
  <c r="P225"/>
  <c r="P224"/>
  <c r="P223"/>
  <c r="P228"/>
  <c r="P227"/>
  <c r="P226"/>
  <c r="P51"/>
  <c r="O52"/>
  <c r="Q19"/>
  <c r="Q20" s="1"/>
  <c r="P20"/>
  <c r="Q12" l="1"/>
  <c r="Q228"/>
  <c r="Q227"/>
  <c r="Q226"/>
  <c r="Q225"/>
  <c r="Q224"/>
  <c r="Q223"/>
  <c r="Q51"/>
  <c r="Q52" s="1"/>
  <c r="P52"/>
</calcChain>
</file>

<file path=xl/sharedStrings.xml><?xml version="1.0" encoding="utf-8"?>
<sst xmlns="http://schemas.openxmlformats.org/spreadsheetml/2006/main" count="417" uniqueCount="226">
  <si>
    <t>Показатели</t>
  </si>
  <si>
    <t>Ед. изм.</t>
  </si>
  <si>
    <t>1. Демографические показатели</t>
  </si>
  <si>
    <t>Численность постоянного населения (среднегодовая)</t>
  </si>
  <si>
    <t>тыс. человек</t>
  </si>
  <si>
    <t>% к предыдущему году</t>
  </si>
  <si>
    <t>2. Производство товаров и услуг</t>
  </si>
  <si>
    <t>2.1. Выпуск товаров и услуг</t>
  </si>
  <si>
    <t>Выпуск товаров и услуг</t>
  </si>
  <si>
    <t>млн. руб. в основных ценах соответствующих лет</t>
  </si>
  <si>
    <t>2.2. Промышленное производство</t>
  </si>
  <si>
    <t>Индекс промышленного производства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</si>
  <si>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</si>
  <si>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</t>
  </si>
  <si>
    <t>млн. руб.</t>
  </si>
  <si>
    <t>Индекс производства</t>
  </si>
  <si>
    <t>Индекс-дефлятор</t>
  </si>
  <si>
    <t>Обрабатывающие производства</t>
  </si>
  <si>
    <t>Производство</t>
  </si>
  <si>
    <t>и распределение электроэнергии,</t>
  </si>
  <si>
    <t>газа и воды</t>
  </si>
  <si>
    <t>2.4. Транспорт</t>
  </si>
  <si>
    <t>и связь</t>
  </si>
  <si>
    <t>2.4.1.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</si>
  <si>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значения-</t>
  </si>
  <si>
    <t>км</t>
  </si>
  <si>
    <t>в том числе федерального значения</t>
  </si>
  <si>
    <t>Удельный вес автомобильных дорог с твердым покрытием в общей протяженности автомобильных дорог общего пользования</t>
  </si>
  <si>
    <t>%</t>
  </si>
  <si>
    <t>2.4.2. Связь</t>
  </si>
  <si>
    <r>
      <t xml:space="preserve">Объем </t>
    </r>
    <r>
      <rPr>
        <sz val="9"/>
        <color rgb="FF000000"/>
        <rFont val="Tahoma"/>
        <family val="2"/>
        <charset val="204"/>
      </rPr>
      <t xml:space="preserve"> услуг связи - всего</t>
    </r>
  </si>
  <si>
    <r>
      <t>Плотност</t>
    </r>
    <r>
      <rPr>
        <sz val="9"/>
        <color rgb="FF000000"/>
        <rFont val="Tahoma"/>
        <family val="2"/>
        <charset val="204"/>
      </rPr>
      <t>ь телефонных аппаратов фиксированной электросвязи на 100 человек населения</t>
    </r>
  </si>
  <si>
    <t>единиц</t>
  </si>
  <si>
    <r>
      <t>Количество</t>
    </r>
    <r>
      <rPr>
        <sz val="9"/>
        <color rgb="FF000000"/>
        <rFont val="Tahoma"/>
        <family val="2"/>
        <charset val="204"/>
      </rPr>
      <t xml:space="preserve"> абонентов, подключенных к сетям подвижной связи</t>
    </r>
  </si>
  <si>
    <t>млн.ед.</t>
  </si>
  <si>
    <r>
      <t>Количество</t>
    </r>
    <r>
      <rPr>
        <sz val="9"/>
        <color rgb="FF000000"/>
        <rFont val="Tahoma"/>
        <family val="2"/>
        <charset val="204"/>
      </rPr>
      <t xml:space="preserve"> почтовых ящиков на 10000 человек</t>
    </r>
  </si>
  <si>
    <t>Деятельность, связанная с использованием вычислительной техники и информационных технологий</t>
  </si>
  <si>
    <r>
      <t xml:space="preserve">Наличие </t>
    </r>
    <r>
      <rPr>
        <sz val="9"/>
        <color rgb="FF000000"/>
        <rFont val="Tahoma"/>
        <family val="2"/>
        <charset val="204"/>
      </rPr>
      <t>персональных компьютеров</t>
    </r>
  </si>
  <si>
    <t>штук</t>
  </si>
  <si>
    <t>в % к пред.году</t>
  </si>
  <si>
    <t>в том числе подключенных к сети Интернет</t>
  </si>
  <si>
    <t>в % к пред. году</t>
  </si>
  <si>
    <r>
      <t xml:space="preserve">Количество </t>
    </r>
    <r>
      <rPr>
        <sz val="9"/>
        <color rgb="FF000000"/>
        <rFont val="Tahoma"/>
        <family val="2"/>
        <charset val="204"/>
      </rPr>
      <t>компьютеров на 100 человек населения</t>
    </r>
  </si>
  <si>
    <r>
      <t xml:space="preserve">Количество </t>
    </r>
    <r>
      <rPr>
        <sz val="9"/>
        <color rgb="FF000000"/>
        <rFont val="Tahoma"/>
        <family val="2"/>
        <charset val="204"/>
      </rPr>
      <t>пользователей сети Интернет на 100 человек населения</t>
    </r>
  </si>
  <si>
    <t>Объем работ, выполненных по виду деятельности "строительство"</t>
  </si>
  <si>
    <t>% к предыдущему году в сопоставимых ценах</t>
  </si>
  <si>
    <t>Индекс-дефлятор по объему работ, выполненных по виду деятельности "строительство"</t>
  </si>
  <si>
    <t xml:space="preserve">% к предыдущему году </t>
  </si>
  <si>
    <t>3. Рынок товаров</t>
  </si>
  <si>
    <t>и услуг</t>
  </si>
  <si>
    <t>декабрь к декабрю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</si>
  <si>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</si>
  <si>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</si>
  <si>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</si>
  <si>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Индекс потребительских цен на продукцию общественного питания</t>
  </si>
  <si>
    <t>Объем платных услуг населению</t>
  </si>
  <si>
    <t>Индекс-дефлятор объема платных услуг</t>
  </si>
  <si>
    <t>Объем платных услуг населению,</t>
  </si>
  <si>
    <t xml:space="preserve"> в том числе:</t>
  </si>
  <si>
    <t>бытовые услуги</t>
  </si>
  <si>
    <t>млн. руб. в ценах соответствующих лет</t>
  </si>
  <si>
    <t>транспортные услуги</t>
  </si>
  <si>
    <t>услуги связи</t>
  </si>
  <si>
    <t>жилищно-коммунальные услуги</t>
  </si>
  <si>
    <t>услуги учреждений культуры</t>
  </si>
  <si>
    <t>медицинские услуги</t>
  </si>
  <si>
    <t>услуги правового характера</t>
  </si>
  <si>
    <t>услуги в системе образования</t>
  </si>
  <si>
    <t>прочие виды платных услуг населению</t>
  </si>
  <si>
    <t>4. Малое и среднее</t>
  </si>
  <si>
    <t xml:space="preserve"> предпринимательство</t>
  </si>
  <si>
    <t>Число средних предприятий (на конец года)</t>
  </si>
  <si>
    <t>Число малых предприятий, включая микропредприятия (на конец года)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</si>
  <si>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</si>
  <si>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</si>
  <si>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</si>
  <si>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</si>
  <si>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</si>
  <si>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</si>
  <si>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</si>
  <si>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услуг, в том числе:</t>
  </si>
  <si>
    <t>научные исследования и разработки</t>
  </si>
  <si>
    <t>Среднесписочная численность работников (без внешних совместителей) средних предприятий</t>
  </si>
  <si>
    <t>Среднесписочная численность работников (без внешних совместителей) малых предприятий включая микропредприятия</t>
  </si>
  <si>
    <t>Оборот средних предприятий</t>
  </si>
  <si>
    <t>Оборот малых предприятий, включая микропредприятия</t>
  </si>
  <si>
    <t>в том числе по видам экономической деятельности:</t>
  </si>
  <si>
    <t>операции с недвижимом имуществом, аренда и предоставление услуг</t>
  </si>
  <si>
    <t>в том числе:</t>
  </si>
  <si>
    <t>5. Инвестиции</t>
  </si>
  <si>
    <t>Объем инвестиций в основной капитал за счет всех источников финансирования</t>
  </si>
  <si>
    <t>Индекс физического объема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</si>
  <si>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</si>
  <si>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6. Основные фонды</t>
  </si>
  <si>
    <t>Создание новой стоимости за год</t>
  </si>
  <si>
    <t>млн.руб.</t>
  </si>
  <si>
    <t>Ликвидация основных фондов по полной учетной стоимости за год</t>
  </si>
  <si>
    <t>Наличие основных фондов по полной учетной стоимости на конец года</t>
  </si>
  <si>
    <t>7. Финансы</t>
  </si>
  <si>
    <t>Доходы местного бюджета -  всего</t>
  </si>
  <si>
    <t>тыс. руб.</t>
  </si>
  <si>
    <t>Налоговые доходы</t>
  </si>
  <si>
    <t>налог на доходы физических лиц</t>
  </si>
  <si>
    <t>налоги на имущество - всего</t>
  </si>
  <si>
    <t>налог на имущество физических лиц</t>
  </si>
  <si>
    <t>транспортный налог</t>
  </si>
  <si>
    <t>земельный налог</t>
  </si>
  <si>
    <t>налоги со специальным налоговым режимом - всего</t>
  </si>
  <si>
    <t>в том числе: единый налог на вменен-ный доход для отд. видов деят-ти</t>
  </si>
  <si>
    <t>единый налог, взимаемый по упрощенной системе налогообложения/госпошлина/</t>
  </si>
  <si>
    <t>единый сельскохозяйственный налог</t>
  </si>
  <si>
    <t>налоги, сборы и платежи за пользование природными ресурсами</t>
  </si>
  <si>
    <t>прочие налоговые доходы</t>
  </si>
  <si>
    <t>Неналоговые доходы</t>
  </si>
  <si>
    <t>доходы от использования имущества, нах-ся в муниципальной собственности</t>
  </si>
  <si>
    <t>в том числе от сдачи в аренду муниципального имущества</t>
  </si>
  <si>
    <t>из них - арендная плата за земли</t>
  </si>
  <si>
    <t>доходы от продажи материальных и нематериальных активов</t>
  </si>
  <si>
    <t>в том числе от реализации муниципального имущества</t>
  </si>
  <si>
    <t>другие неналоговые доходы</t>
  </si>
  <si>
    <t>Безвозмездные поступления - всего</t>
  </si>
  <si>
    <t>в том числе: дотации от других бюджетов бюджетной системы РФ</t>
  </si>
  <si>
    <t>субвенции от других бюджетов бюджетной системы РФ</t>
  </si>
  <si>
    <t>средства, получаемые на компенсацию дополнительных расходов по решениям, принятым органами власти другого уровня</t>
  </si>
  <si>
    <t>субсидии от других бюджетов бюджетной системы РФ</t>
  </si>
  <si>
    <t xml:space="preserve">прочие безвозмездные поступления/ возврат остатков </t>
  </si>
  <si>
    <t>Расходы местного бюджета -   всего</t>
  </si>
  <si>
    <t>Общегосударственные вопросы</t>
  </si>
  <si>
    <t>функционирование законодательных (представительных) органов МС</t>
  </si>
  <si>
    <t>функционирование местных администраций</t>
  </si>
  <si>
    <t>Жилищно-коммунальное хозяйство</t>
  </si>
  <si>
    <t>Охрана окружающей среды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</si>
  <si>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</si>
  <si>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</si>
  <si>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</si>
  <si>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</si>
  <si>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</si>
  <si>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</si>
  <si>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</si>
  <si>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</si>
  <si>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Прочие расходы</t>
  </si>
  <si>
    <t>Дефицит (-), профицит (+) местного бюджета</t>
  </si>
  <si>
    <t>Внутренний муниципальный долг (на конец периода)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</si>
  <si>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</si>
  <si>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</si>
  <si>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</si>
  <si>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труда(фонд начисленной заработной платы работников предприятий и организаций)</t>
  </si>
  <si>
    <t>социальные выплаты - всего</t>
  </si>
  <si>
    <t>пенсии</t>
  </si>
  <si>
    <t>пособия и социальная помощь</t>
  </si>
  <si>
    <t>деньги полученные  по переводам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</si>
  <si>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</si>
  <si>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</si>
  <si>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</si>
  <si>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</si>
  <si>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Расходы населения</t>
  </si>
  <si>
    <t>обязательные платежи и разнообразные взносы</t>
  </si>
  <si>
    <t>прочие расходы</t>
  </si>
  <si>
    <t>Превышение доходов над расходами (+), или расходов над доходами (-)</t>
  </si>
  <si>
    <t>9. Труд и занятость</t>
  </si>
  <si>
    <t>Численность трудовых ресурсов</t>
  </si>
  <si>
    <t>человек</t>
  </si>
  <si>
    <t>Численность занятых в экономике (среднегодовая)</t>
  </si>
  <si>
    <t>сельское хозяйство, охота и лесное хозяйство</t>
  </si>
  <si>
    <t xml:space="preserve"> человек</t>
  </si>
  <si>
    <t>рыболовство, рыбоводство</t>
  </si>
  <si>
    <t>промышленное производство</t>
  </si>
  <si>
    <t>в т.ч.: добыча полезных ископаемых</t>
  </si>
  <si>
    <t>оптовая и розничная торговля; ремонт автотранспортных средств, бытовых изделий и предметов личного пользования</t>
  </si>
  <si>
    <t>гостиницы и рестораны</t>
  </si>
  <si>
    <t>финансовая деятельность</t>
  </si>
  <si>
    <t>операции с недвижимым имуществом, 
аренда и предоставление услуг</t>
  </si>
  <si>
    <t>государственное (муниципальное)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</si>
  <si>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</si>
  <si>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</si>
  <si>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</si>
  <si>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Среднесписочная численность работников организаций - всего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</si>
  <si>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</si>
  <si>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</si>
  <si>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работников к месячному фонду заработной платы (без субъектов малого предпринимательства) на конец года</t>
  </si>
  <si>
    <t>10. Развитие социальной сферы</t>
  </si>
  <si>
    <t>Численность детей в дошкольных образовательных учреждениях</t>
  </si>
  <si>
    <t>Численность обучающихся в образовательных  учреждениях:</t>
  </si>
  <si>
    <t>государственных и муниципальных (без вечерних (сменных)</t>
  </si>
  <si>
    <t>вечерних (сменных)</t>
  </si>
  <si>
    <t>негосударственных</t>
  </si>
  <si>
    <t>Численность обучающихся в первую смену в государственных и муниципальных общеобразовательных учреждениях (без вечерних (сменных) общеобразовательных учреждений)</t>
  </si>
  <si>
    <t>Обеспеченность:</t>
  </si>
  <si>
    <t>больничными койками</t>
  </si>
  <si>
    <t>коек на 10 тыс. населения</t>
  </si>
  <si>
    <t>амбулаторно-поликлиническими учреждениями</t>
  </si>
  <si>
    <t>посещений в смену на 10 тыс. населения</t>
  </si>
  <si>
    <t>врачами</t>
  </si>
  <si>
    <t>чел. на 10 тыс. населения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</si>
  <si>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</si>
  <si>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</si>
  <si>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</si>
  <si>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</si>
  <si>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 учреждениями</t>
  </si>
  <si>
    <t>мест на 1 000 детей в возрасте 1-6 лет</t>
  </si>
  <si>
    <t>Ввод в действие жилых домов</t>
  </si>
  <si>
    <t>тыс. кв. м общей площади</t>
  </si>
  <si>
    <t>в том числе за счет:</t>
  </si>
  <si>
    <t>средств федерального бюджета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</si>
  <si>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</si>
  <si>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</si>
  <si>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в среднем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</si>
  <si>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</si>
  <si>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</si>
  <si>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>Фактический уровень платежей населения за жилое помещение  и коммунальные услуги</t>
  </si>
  <si>
    <t>Численность пенсионеров, состоящих на учете в системе Пенсионного фонда РФ</t>
  </si>
  <si>
    <t>тыс. чел.</t>
  </si>
  <si>
    <t>Количество муниципальных учреждений:</t>
  </si>
  <si>
    <t>из них</t>
  </si>
  <si>
    <t>учреждения образования</t>
  </si>
  <si>
    <t>учреждения культуры</t>
  </si>
  <si>
    <t>Муниципальное бюджетное учреждение Редакция газеты «Кизилюртовские вести»</t>
  </si>
  <si>
    <t>Муниципальное казённое  учреждение "Централизованная бухгалтерия" администрации МО "Город Кизилюрт"</t>
  </si>
  <si>
    <t xml:space="preserve">Муниципальное  казенное  учреждение </t>
  </si>
  <si>
    <t>Финансовое управление</t>
  </si>
  <si>
    <t>Отчет 2014г.</t>
  </si>
  <si>
    <t>Оценка 2015г.</t>
  </si>
  <si>
    <t>Прогноз</t>
  </si>
  <si>
    <t>Превышение доходов над  раходами(+) или расходов над доходами (-)</t>
  </si>
  <si>
    <t xml:space="preserve"> оплата услуг</t>
  </si>
  <si>
    <t xml:space="preserve"> покупка товаров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</si>
</sst>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9"/>
      <color theme="1"/>
      <name val="Tahoma"/>
      <family val="2"/>
      <charset val="204"/>
    </font>
    <font>
      <i/>
      <sz val="9"/>
      <color theme="1"/>
      <name val="Tahoma"/>
      <family val="2"/>
      <charset val="204"/>
    </font>
    <font>
      <sz val="9"/>
      <name val="Arial Narrow"/>
      <family val="2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2" fontId="9" fillId="3" borderId="2" xfId="0" applyNumberFormat="1" applyFon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10" fillId="2" borderId="8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Лист1!$A$41:$A$249</c:f>
              <c:numCache>
                <c:formatCode>General</c:formatCode>
                <c:ptCount val="2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</c:ser>
        <c:ser>
          <c:idx val="1"/>
          <c:order val="1"/>
          <c:val>
            <c:numRef>
              <c:f>Лист1!$B$41:$B$249</c:f>
              <c:numCache>
                <c:formatCode>General</c:formatCode>
                <c:ptCount val="205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7">
                  <c:v>0</c:v>
                </c:pt>
                <c:pt idx="48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7">
                  <c:v>0</c:v>
                </c:pt>
                <c:pt idx="148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1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</c:numCache>
            </c:numRef>
          </c:val>
        </c:ser>
        <c:ser>
          <c:idx val="2"/>
          <c:order val="2"/>
          <c:val>
            <c:numRef>
              <c:f>Лист1!$C$41:$C$249</c:f>
              <c:numCache>
                <c:formatCode>General</c:formatCode>
                <c:ptCount val="205"/>
                <c:pt idx="0">
                  <c:v>2.1</c:v>
                </c:pt>
                <c:pt idx="1">
                  <c:v>0</c:v>
                </c:pt>
                <c:pt idx="2">
                  <c:v>2.7</c:v>
                </c:pt>
                <c:pt idx="4">
                  <c:v>18979</c:v>
                </c:pt>
                <c:pt idx="5">
                  <c:v>103.2</c:v>
                </c:pt>
                <c:pt idx="6">
                  <c:v>9450</c:v>
                </c:pt>
                <c:pt idx="7">
                  <c:v>101.2</c:v>
                </c:pt>
                <c:pt idx="8">
                  <c:v>41.4</c:v>
                </c:pt>
                <c:pt idx="9">
                  <c:v>101.2</c:v>
                </c:pt>
                <c:pt idx="10">
                  <c:v>18.7</c:v>
                </c:pt>
                <c:pt idx="11">
                  <c:v>105</c:v>
                </c:pt>
                <c:pt idx="12">
                  <c:v>552.63900000000001</c:v>
                </c:pt>
                <c:pt idx="13">
                  <c:v>107.5</c:v>
                </c:pt>
                <c:pt idx="14">
                  <c:v>109.9</c:v>
                </c:pt>
                <c:pt idx="17">
                  <c:v>1936.9</c:v>
                </c:pt>
                <c:pt idx="18">
                  <c:v>125.36</c:v>
                </c:pt>
                <c:pt idx="19">
                  <c:v>105.4</c:v>
                </c:pt>
                <c:pt idx="20">
                  <c:v>1497.62</c:v>
                </c:pt>
                <c:pt idx="21">
                  <c:v>104.94</c:v>
                </c:pt>
                <c:pt idx="22">
                  <c:v>105.4</c:v>
                </c:pt>
                <c:pt idx="23">
                  <c:v>252.9</c:v>
                </c:pt>
                <c:pt idx="24">
                  <c:v>145.99</c:v>
                </c:pt>
                <c:pt idx="25">
                  <c:v>106</c:v>
                </c:pt>
                <c:pt idx="26">
                  <c:v>252.9</c:v>
                </c:pt>
                <c:pt idx="28" formatCode="0.00">
                  <c:v>13.183999999999999</c:v>
                </c:pt>
                <c:pt idx="29">
                  <c:v>96.99</c:v>
                </c:pt>
                <c:pt idx="30" formatCode="0.00">
                  <c:v>9.1549999999999994</c:v>
                </c:pt>
                <c:pt idx="31">
                  <c:v>220.12</c:v>
                </c:pt>
                <c:pt idx="32">
                  <c:v>0</c:v>
                </c:pt>
                <c:pt idx="33">
                  <c:v>0</c:v>
                </c:pt>
                <c:pt idx="34" formatCode="0.00">
                  <c:v>217.91200000000001</c:v>
                </c:pt>
                <c:pt idx="35">
                  <c:v>152.33000000000001</c:v>
                </c:pt>
                <c:pt idx="36">
                  <c:v>0</c:v>
                </c:pt>
                <c:pt idx="38">
                  <c:v>1.7490000000000001</c:v>
                </c:pt>
                <c:pt idx="39">
                  <c:v>134.79</c:v>
                </c:pt>
                <c:pt idx="40">
                  <c:v>4.5999999999999999E-2</c:v>
                </c:pt>
                <c:pt idx="41">
                  <c:v>99.56</c:v>
                </c:pt>
                <c:pt idx="42">
                  <c:v>1.0820000000000001</c:v>
                </c:pt>
                <c:pt idx="43">
                  <c:v>98</c:v>
                </c:pt>
                <c:pt idx="44">
                  <c:v>2.4E-2</c:v>
                </c:pt>
                <c:pt idx="48">
                  <c:v>436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69</c:v>
                </c:pt>
                <c:pt idx="54">
                  <c:v>156</c:v>
                </c:pt>
                <c:pt idx="55">
                  <c:v>13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1976</c:v>
                </c:pt>
                <c:pt idx="60">
                  <c:v>0</c:v>
                </c:pt>
                <c:pt idx="61" formatCode="0.00">
                  <c:v>9593.3430000000008</c:v>
                </c:pt>
                <c:pt idx="63" formatCode="0.0">
                  <c:v>296.56400000000002</c:v>
                </c:pt>
                <c:pt idx="64">
                  <c:v>0</c:v>
                </c:pt>
                <c:pt idx="65">
                  <c:v>45615</c:v>
                </c:pt>
                <c:pt idx="66">
                  <c:v>341.98200000000003</c:v>
                </c:pt>
                <c:pt idx="67" formatCode="0.00">
                  <c:v>4499.0129999999999</c:v>
                </c:pt>
                <c:pt idx="68">
                  <c:v>28.443000000000001</c:v>
                </c:pt>
                <c:pt idx="69">
                  <c:v>0</c:v>
                </c:pt>
                <c:pt idx="71">
                  <c:v>0</c:v>
                </c:pt>
                <c:pt idx="73" formatCode="0.00">
                  <c:v>892.72799999999995</c:v>
                </c:pt>
                <c:pt idx="74">
                  <c:v>107.06</c:v>
                </c:pt>
                <c:pt idx="75">
                  <c:v>107.4</c:v>
                </c:pt>
                <c:pt idx="77" formatCode="0.00">
                  <c:v>89.867999999999995</c:v>
                </c:pt>
                <c:pt idx="78" formatCode="0.00">
                  <c:v>7</c:v>
                </c:pt>
                <c:pt idx="79">
                  <c:v>167.70400000000001</c:v>
                </c:pt>
                <c:pt idx="83">
                  <c:v>651015</c:v>
                </c:pt>
                <c:pt idx="84">
                  <c:v>69046</c:v>
                </c:pt>
                <c:pt idx="85">
                  <c:v>18378</c:v>
                </c:pt>
                <c:pt idx="87">
                  <c:v>1364</c:v>
                </c:pt>
                <c:pt idx="89">
                  <c:v>17014</c:v>
                </c:pt>
                <c:pt idx="90">
                  <c:v>6843</c:v>
                </c:pt>
                <c:pt idx="91">
                  <c:v>6310</c:v>
                </c:pt>
                <c:pt idx="93">
                  <c:v>10</c:v>
                </c:pt>
                <c:pt idx="94">
                  <c:v>523</c:v>
                </c:pt>
                <c:pt idx="95">
                  <c:v>4018</c:v>
                </c:pt>
                <c:pt idx="96">
                  <c:v>47996</c:v>
                </c:pt>
                <c:pt idx="97">
                  <c:v>6395</c:v>
                </c:pt>
                <c:pt idx="100">
                  <c:v>9938</c:v>
                </c:pt>
                <c:pt idx="102">
                  <c:v>31663</c:v>
                </c:pt>
                <c:pt idx="103">
                  <c:v>535500</c:v>
                </c:pt>
                <c:pt idx="104">
                  <c:v>99513</c:v>
                </c:pt>
                <c:pt idx="105">
                  <c:v>337766</c:v>
                </c:pt>
                <c:pt idx="106">
                  <c:v>10062</c:v>
                </c:pt>
                <c:pt idx="107">
                  <c:v>88159</c:v>
                </c:pt>
                <c:pt idx="108">
                  <c:v>-1527</c:v>
                </c:pt>
                <c:pt idx="109">
                  <c:v>684988</c:v>
                </c:pt>
                <c:pt idx="110">
                  <c:v>32475</c:v>
                </c:pt>
                <c:pt idx="111">
                  <c:v>1837</c:v>
                </c:pt>
                <c:pt idx="113">
                  <c:v>97001</c:v>
                </c:pt>
                <c:pt idx="114">
                  <c:v>9577</c:v>
                </c:pt>
                <c:pt idx="115">
                  <c:v>459827</c:v>
                </c:pt>
                <c:pt idx="116">
                  <c:v>11491</c:v>
                </c:pt>
                <c:pt idx="117">
                  <c:v>24201</c:v>
                </c:pt>
                <c:pt idx="118">
                  <c:v>44216</c:v>
                </c:pt>
                <c:pt idx="120">
                  <c:v>27298</c:v>
                </c:pt>
                <c:pt idx="121">
                  <c:v>5534</c:v>
                </c:pt>
                <c:pt idx="122">
                  <c:v>11384</c:v>
                </c:pt>
                <c:pt idx="123">
                  <c:v>3837</c:v>
                </c:pt>
                <c:pt idx="126">
                  <c:v>-33973</c:v>
                </c:pt>
                <c:pt idx="128" formatCode="0.00">
                  <c:v>3244.5810000000001</c:v>
                </c:pt>
                <c:pt idx="130">
                  <c:v>191.02</c:v>
                </c:pt>
                <c:pt idx="131">
                  <c:v>1523.48</c:v>
                </c:pt>
                <c:pt idx="132">
                  <c:v>1264.8</c:v>
                </c:pt>
                <c:pt idx="133">
                  <c:v>1159.71</c:v>
                </c:pt>
                <c:pt idx="134">
                  <c:v>105.104</c:v>
                </c:pt>
                <c:pt idx="135">
                  <c:v>195.393</c:v>
                </c:pt>
                <c:pt idx="136">
                  <c:v>0</c:v>
                </c:pt>
                <c:pt idx="137">
                  <c:v>69.876000000000005</c:v>
                </c:pt>
                <c:pt idx="138">
                  <c:v>5658</c:v>
                </c:pt>
                <c:pt idx="139">
                  <c:v>9798.7160000000003</c:v>
                </c:pt>
                <c:pt idx="141">
                  <c:v>252.9</c:v>
                </c:pt>
                <c:pt idx="142">
                  <c:v>8936.9</c:v>
                </c:pt>
                <c:pt idx="143">
                  <c:v>508.49799999999999</c:v>
                </c:pt>
                <c:pt idx="145" formatCode="0.00">
                  <c:v>-6554.1350000000002</c:v>
                </c:pt>
                <c:pt idx="147">
                  <c:v>21863</c:v>
                </c:pt>
                <c:pt idx="148">
                  <c:v>15920</c:v>
                </c:pt>
                <c:pt idx="150">
                  <c:v>5005</c:v>
                </c:pt>
                <c:pt idx="151">
                  <c:v>0</c:v>
                </c:pt>
                <c:pt idx="152">
                  <c:v>2628</c:v>
                </c:pt>
                <c:pt idx="153">
                  <c:v>0</c:v>
                </c:pt>
                <c:pt idx="154">
                  <c:v>2383</c:v>
                </c:pt>
                <c:pt idx="155">
                  <c:v>0</c:v>
                </c:pt>
                <c:pt idx="156">
                  <c:v>1125</c:v>
                </c:pt>
                <c:pt idx="157">
                  <c:v>669</c:v>
                </c:pt>
                <c:pt idx="158">
                  <c:v>0</c:v>
                </c:pt>
                <c:pt idx="159">
                  <c:v>744</c:v>
                </c:pt>
                <c:pt idx="160">
                  <c:v>85</c:v>
                </c:pt>
                <c:pt idx="161">
                  <c:v>98</c:v>
                </c:pt>
                <c:pt idx="162">
                  <c:v>878</c:v>
                </c:pt>
                <c:pt idx="163">
                  <c:v>1571</c:v>
                </c:pt>
                <c:pt idx="164">
                  <c:v>1661</c:v>
                </c:pt>
                <c:pt idx="165">
                  <c:v>675</c:v>
                </c:pt>
                <c:pt idx="166">
                  <c:v>7412</c:v>
                </c:pt>
                <c:pt idx="167">
                  <c:v>1270.9739999999999</c:v>
                </c:pt>
                <c:pt idx="168">
                  <c:v>1204.8130000000001</c:v>
                </c:pt>
                <c:pt idx="169">
                  <c:v>0</c:v>
                </c:pt>
                <c:pt idx="171">
                  <c:v>2035</c:v>
                </c:pt>
                <c:pt idx="173">
                  <c:v>5807</c:v>
                </c:pt>
                <c:pt idx="176">
                  <c:v>80.83</c:v>
                </c:pt>
                <c:pt idx="178" formatCode="0.00">
                  <c:v>140.48672566371681</c:v>
                </c:pt>
                <c:pt idx="179" formatCode="0.00">
                  <c:v>228.98230088495575</c:v>
                </c:pt>
                <c:pt idx="180" formatCode="0.00">
                  <c:v>100.4424778761062</c:v>
                </c:pt>
                <c:pt idx="181" formatCode="0.00">
                  <c:v>1.1061946902654867</c:v>
                </c:pt>
                <c:pt idx="182" formatCode="0.00">
                  <c:v>460.17699115044246</c:v>
                </c:pt>
                <c:pt idx="183" formatCode="0.00">
                  <c:v>2.2123893805309733</c:v>
                </c:pt>
                <c:pt idx="185" formatCode="0.00">
                  <c:v>2.1182988430829397</c:v>
                </c:pt>
                <c:pt idx="186">
                  <c:v>10.177</c:v>
                </c:pt>
                <c:pt idx="190">
                  <c:v>10.177</c:v>
                </c:pt>
                <c:pt idx="192">
                  <c:v>19.3</c:v>
                </c:pt>
                <c:pt idx="193">
                  <c:v>54579.86</c:v>
                </c:pt>
                <c:pt idx="194">
                  <c:v>55.79</c:v>
                </c:pt>
                <c:pt idx="195">
                  <c:v>10912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3"/>
          <c:order val="3"/>
          <c:val>
            <c:numRef>
              <c:f>Лист1!$D$41:$D$249</c:f>
              <c:numCache>
                <c:formatCode>General</c:formatCode>
                <c:ptCount val="205"/>
                <c:pt idx="0">
                  <c:v>2.1</c:v>
                </c:pt>
                <c:pt idx="1">
                  <c:v>0</c:v>
                </c:pt>
                <c:pt idx="2">
                  <c:v>2.7</c:v>
                </c:pt>
                <c:pt idx="4">
                  <c:v>19358.580000000002</c:v>
                </c:pt>
                <c:pt idx="5" formatCode="0.0">
                  <c:v>102</c:v>
                </c:pt>
                <c:pt idx="6">
                  <c:v>9544.5</c:v>
                </c:pt>
                <c:pt idx="7">
                  <c:v>101</c:v>
                </c:pt>
                <c:pt idx="8" formatCode="0.00">
                  <c:v>41.441399999999994</c:v>
                </c:pt>
                <c:pt idx="9" formatCode="0.00">
                  <c:v>100.1</c:v>
                </c:pt>
                <c:pt idx="10" formatCode="0.00">
                  <c:v>19.260999999999999</c:v>
                </c:pt>
                <c:pt idx="11">
                  <c:v>103</c:v>
                </c:pt>
                <c:pt idx="12">
                  <c:v>627.10299999999995</c:v>
                </c:pt>
                <c:pt idx="13" formatCode="0.00">
                  <c:v>113.47425715521342</c:v>
                </c:pt>
                <c:pt idx="14">
                  <c:v>108.7</c:v>
                </c:pt>
                <c:pt idx="17" formatCode="0.00">
                  <c:v>1995.0070000000001</c:v>
                </c:pt>
                <c:pt idx="18" formatCode="0.00">
                  <c:v>103</c:v>
                </c:pt>
                <c:pt idx="19">
                  <c:v>105.6</c:v>
                </c:pt>
                <c:pt idx="20">
                  <c:v>1542.5485999999999</c:v>
                </c:pt>
                <c:pt idx="21">
                  <c:v>103</c:v>
                </c:pt>
                <c:pt idx="22">
                  <c:v>105.6</c:v>
                </c:pt>
                <c:pt idx="23" formatCode="0.00">
                  <c:v>260.48700000000002</c:v>
                </c:pt>
                <c:pt idx="24" formatCode="0.00">
                  <c:v>103</c:v>
                </c:pt>
                <c:pt idx="25">
                  <c:v>105.9</c:v>
                </c:pt>
                <c:pt idx="26" formatCode="0.00">
                  <c:v>250.44656000000001</c:v>
                </c:pt>
                <c:pt idx="28" formatCode="0.00">
                  <c:v>13.57952</c:v>
                </c:pt>
                <c:pt idx="29" formatCode="0.00">
                  <c:v>103</c:v>
                </c:pt>
                <c:pt idx="30" formatCode="0.00">
                  <c:v>9.4296499999999988</c:v>
                </c:pt>
                <c:pt idx="31" formatCode="0.00">
                  <c:v>103</c:v>
                </c:pt>
                <c:pt idx="32">
                  <c:v>0</c:v>
                </c:pt>
                <c:pt idx="33">
                  <c:v>0</c:v>
                </c:pt>
                <c:pt idx="34" formatCode="0.00">
                  <c:v>224.44936000000001</c:v>
                </c:pt>
                <c:pt idx="35" formatCode="0.00">
                  <c:v>103</c:v>
                </c:pt>
                <c:pt idx="36">
                  <c:v>0</c:v>
                </c:pt>
                <c:pt idx="38" formatCode="0.00">
                  <c:v>1.8014700000000001</c:v>
                </c:pt>
                <c:pt idx="39" formatCode="0.00">
                  <c:v>103</c:v>
                </c:pt>
                <c:pt idx="40" formatCode="0.000">
                  <c:v>4.7379999999999999E-2</c:v>
                </c:pt>
                <c:pt idx="41" formatCode="0.00">
                  <c:v>103</c:v>
                </c:pt>
                <c:pt idx="42" formatCode="0.00">
                  <c:v>1.1144600000000002</c:v>
                </c:pt>
                <c:pt idx="43" formatCode="0.00">
                  <c:v>103.00000000000003</c:v>
                </c:pt>
                <c:pt idx="44" formatCode="0.000">
                  <c:v>2.4719999999999999E-2</c:v>
                </c:pt>
                <c:pt idx="48">
                  <c:v>422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69</c:v>
                </c:pt>
                <c:pt idx="54">
                  <c:v>156</c:v>
                </c:pt>
                <c:pt idx="55">
                  <c:v>13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1976</c:v>
                </c:pt>
                <c:pt idx="60">
                  <c:v>0</c:v>
                </c:pt>
                <c:pt idx="61" formatCode="0.00">
                  <c:v>9689.2764299999999</c:v>
                </c:pt>
                <c:pt idx="63" formatCode="0.0">
                  <c:v>299.52964000000003</c:v>
                </c:pt>
                <c:pt idx="64">
                  <c:v>0</c:v>
                </c:pt>
                <c:pt idx="65">
                  <c:v>46071.15</c:v>
                </c:pt>
                <c:pt idx="66">
                  <c:v>345.40181999999999</c:v>
                </c:pt>
                <c:pt idx="67" formatCode="0.00">
                  <c:v>4544.0031300000001</c:v>
                </c:pt>
                <c:pt idx="68">
                  <c:v>28.727429999999998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1018.752</c:v>
                </c:pt>
                <c:pt idx="74" formatCode="0.0">
                  <c:v>114.11672984380461</c:v>
                </c:pt>
                <c:pt idx="75">
                  <c:v>111.2</c:v>
                </c:pt>
                <c:pt idx="77" formatCode="0.00">
                  <c:v>91.485623999999987</c:v>
                </c:pt>
                <c:pt idx="78" formatCode="0.00">
                  <c:v>7.1260000000000003</c:v>
                </c:pt>
                <c:pt idx="79" formatCode="0.00">
                  <c:v>174.41216</c:v>
                </c:pt>
                <c:pt idx="83">
                  <c:v>560506.80000000005</c:v>
                </c:pt>
                <c:pt idx="84">
                  <c:v>76973</c:v>
                </c:pt>
                <c:pt idx="85">
                  <c:v>20741</c:v>
                </c:pt>
                <c:pt idx="87">
                  <c:v>1366</c:v>
                </c:pt>
                <c:pt idx="89">
                  <c:v>19375</c:v>
                </c:pt>
                <c:pt idx="90">
                  <c:v>6492</c:v>
                </c:pt>
                <c:pt idx="91">
                  <c:v>6487</c:v>
                </c:pt>
                <c:pt idx="93">
                  <c:v>5</c:v>
                </c:pt>
                <c:pt idx="95">
                  <c:v>4994</c:v>
                </c:pt>
                <c:pt idx="96">
                  <c:v>36698</c:v>
                </c:pt>
                <c:pt idx="97">
                  <c:v>6130</c:v>
                </c:pt>
                <c:pt idx="100">
                  <c:v>3200</c:v>
                </c:pt>
                <c:pt idx="102">
                  <c:v>27368</c:v>
                </c:pt>
                <c:pt idx="103">
                  <c:v>446835.8</c:v>
                </c:pt>
                <c:pt idx="104">
                  <c:v>64932</c:v>
                </c:pt>
                <c:pt idx="105">
                  <c:v>322782.5</c:v>
                </c:pt>
                <c:pt idx="106">
                  <c:v>1310</c:v>
                </c:pt>
                <c:pt idx="107">
                  <c:v>57811.3</c:v>
                </c:pt>
                <c:pt idx="109">
                  <c:v>562825.80000000005</c:v>
                </c:pt>
                <c:pt idx="110">
                  <c:v>33545</c:v>
                </c:pt>
                <c:pt idx="111">
                  <c:v>1663</c:v>
                </c:pt>
                <c:pt idx="113">
                  <c:v>70246.3</c:v>
                </c:pt>
                <c:pt idx="114">
                  <c:v>2794</c:v>
                </c:pt>
                <c:pt idx="115">
                  <c:v>407847</c:v>
                </c:pt>
                <c:pt idx="116">
                  <c:v>19375</c:v>
                </c:pt>
                <c:pt idx="118">
                  <c:v>21804.6</c:v>
                </c:pt>
                <c:pt idx="120">
                  <c:v>18442</c:v>
                </c:pt>
                <c:pt idx="121">
                  <c:v>5335.8</c:v>
                </c:pt>
                <c:pt idx="122">
                  <c:v>1973.2</c:v>
                </c:pt>
                <c:pt idx="123">
                  <c:v>4374.7</c:v>
                </c:pt>
                <c:pt idx="126">
                  <c:v>-2319</c:v>
                </c:pt>
                <c:pt idx="128" formatCode="0.00">
                  <c:v>3309.47262</c:v>
                </c:pt>
                <c:pt idx="130" formatCode="0.00">
                  <c:v>194.84040000000002</c:v>
                </c:pt>
                <c:pt idx="131" formatCode="0.00">
                  <c:v>1553.9495999999999</c:v>
                </c:pt>
                <c:pt idx="132" formatCode="0.00">
                  <c:v>1290.096</c:v>
                </c:pt>
                <c:pt idx="133" formatCode="0.00">
                  <c:v>1182.9041999999999</c:v>
                </c:pt>
                <c:pt idx="134" formatCode="0.00">
                  <c:v>107.20608</c:v>
                </c:pt>
                <c:pt idx="135" formatCode="0.00">
                  <c:v>199.30086</c:v>
                </c:pt>
                <c:pt idx="136" formatCode="0">
                  <c:v>0</c:v>
                </c:pt>
                <c:pt idx="137" formatCode="0.00">
                  <c:v>71.273520000000005</c:v>
                </c:pt>
                <c:pt idx="138" formatCode="0.00">
                  <c:v>5771.16</c:v>
                </c:pt>
                <c:pt idx="139" formatCode="0.00">
                  <c:v>9994.6903199999997</c:v>
                </c:pt>
                <c:pt idx="141" formatCode="0.00">
                  <c:v>257.95799999999997</c:v>
                </c:pt>
                <c:pt idx="142" formatCode="0.00">
                  <c:v>9115.637999999999</c:v>
                </c:pt>
                <c:pt idx="143" formatCode="0.00">
                  <c:v>518.66795999999999</c:v>
                </c:pt>
                <c:pt idx="145" formatCode="0.00">
                  <c:v>-6685.2176999999992</c:v>
                </c:pt>
                <c:pt idx="147">
                  <c:v>22343.986000000001</c:v>
                </c:pt>
                <c:pt idx="148" formatCode="0">
                  <c:v>16270.24</c:v>
                </c:pt>
                <c:pt idx="150" formatCode="0">
                  <c:v>5055.05</c:v>
                </c:pt>
                <c:pt idx="151" formatCode="0">
                  <c:v>0</c:v>
                </c:pt>
                <c:pt idx="152" formatCode="0">
                  <c:v>2654.28</c:v>
                </c:pt>
                <c:pt idx="153" formatCode="0">
                  <c:v>0</c:v>
                </c:pt>
                <c:pt idx="154" formatCode="0">
                  <c:v>2406.83</c:v>
                </c:pt>
                <c:pt idx="155" formatCode="0">
                  <c:v>0</c:v>
                </c:pt>
                <c:pt idx="156" formatCode="0">
                  <c:v>1136.25</c:v>
                </c:pt>
                <c:pt idx="157" formatCode="0">
                  <c:v>675.69</c:v>
                </c:pt>
                <c:pt idx="158" formatCode="0">
                  <c:v>0</c:v>
                </c:pt>
                <c:pt idx="159" formatCode="0">
                  <c:v>751.44</c:v>
                </c:pt>
                <c:pt idx="160" formatCode="0">
                  <c:v>85.85</c:v>
                </c:pt>
                <c:pt idx="161" formatCode="0">
                  <c:v>98.98</c:v>
                </c:pt>
                <c:pt idx="162" formatCode="0">
                  <c:v>886.78</c:v>
                </c:pt>
                <c:pt idx="163" formatCode="0">
                  <c:v>1586.71</c:v>
                </c:pt>
                <c:pt idx="164" formatCode="0">
                  <c:v>1677.61</c:v>
                </c:pt>
                <c:pt idx="165" formatCode="0">
                  <c:v>681.75</c:v>
                </c:pt>
                <c:pt idx="166" formatCode="0">
                  <c:v>7486.12</c:v>
                </c:pt>
                <c:pt idx="167">
                  <c:v>1595.787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2055.35</c:v>
                </c:pt>
                <c:pt idx="173" formatCode="0">
                  <c:v>5865.07</c:v>
                </c:pt>
                <c:pt idx="176" formatCode="0.00">
                  <c:v>80.91082999999999</c:v>
                </c:pt>
                <c:pt idx="178" formatCode="0.00">
                  <c:v>127.71520514883346</c:v>
                </c:pt>
                <c:pt idx="179" formatCode="0.00">
                  <c:v>208.1657280772325</c:v>
                </c:pt>
                <c:pt idx="180" formatCode="0.000">
                  <c:v>41.834271922767499</c:v>
                </c:pt>
                <c:pt idx="181" formatCode="0.00">
                  <c:v>41.834271922767499</c:v>
                </c:pt>
                <c:pt idx="182" formatCode="0.00">
                  <c:v>41.834271922767499</c:v>
                </c:pt>
                <c:pt idx="183" formatCode="0.00">
                  <c:v>0.20112630732099759</c:v>
                </c:pt>
                <c:pt idx="185" formatCode="0.00">
                  <c:v>2.1182988430829397</c:v>
                </c:pt>
                <c:pt idx="186">
                  <c:v>9765.4</c:v>
                </c:pt>
                <c:pt idx="190">
                  <c:v>9765.4</c:v>
                </c:pt>
                <c:pt idx="192">
                  <c:v>19.399999999999999</c:v>
                </c:pt>
                <c:pt idx="193">
                  <c:v>56267.9</c:v>
                </c:pt>
                <c:pt idx="194" formatCode="0.00">
                  <c:v>57.463699999999996</c:v>
                </c:pt>
                <c:pt idx="195">
                  <c:v>11239.36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4"/>
          <c:order val="4"/>
          <c:val>
            <c:numRef>
              <c:f>Лист1!$E$41:$E$249</c:f>
              <c:numCache>
                <c:formatCode>General</c:formatCode>
                <c:ptCount val="205"/>
                <c:pt idx="0">
                  <c:v>2.1</c:v>
                </c:pt>
                <c:pt idx="1">
                  <c:v>0</c:v>
                </c:pt>
                <c:pt idx="2">
                  <c:v>2.7</c:v>
                </c:pt>
                <c:pt idx="4">
                  <c:v>19687.675860000003</c:v>
                </c:pt>
                <c:pt idx="5">
                  <c:v>101.70000000000002</c:v>
                </c:pt>
                <c:pt idx="6">
                  <c:v>9735.39</c:v>
                </c:pt>
                <c:pt idx="7">
                  <c:v>102</c:v>
                </c:pt>
                <c:pt idx="8" formatCode="0.00">
                  <c:v>41.524282799999995</c:v>
                </c:pt>
                <c:pt idx="9" formatCode="0.00">
                  <c:v>100.2</c:v>
                </c:pt>
                <c:pt idx="10" formatCode="0.00">
                  <c:v>19.838829999999998</c:v>
                </c:pt>
                <c:pt idx="11">
                  <c:v>103</c:v>
                </c:pt>
                <c:pt idx="12" formatCode="0.00">
                  <c:v>645.91608999999994</c:v>
                </c:pt>
                <c:pt idx="13" formatCode="0.00">
                  <c:v>103</c:v>
                </c:pt>
                <c:pt idx="14">
                  <c:v>106.7</c:v>
                </c:pt>
                <c:pt idx="17" formatCode="0.00">
                  <c:v>2050.8671960000001</c:v>
                </c:pt>
                <c:pt idx="18" formatCode="0.00">
                  <c:v>102.8</c:v>
                </c:pt>
                <c:pt idx="19">
                  <c:v>106</c:v>
                </c:pt>
                <c:pt idx="20" formatCode="0.00">
                  <c:v>1565.6868289999998</c:v>
                </c:pt>
                <c:pt idx="21">
                  <c:v>101.49999999999999</c:v>
                </c:pt>
                <c:pt idx="22">
                  <c:v>106</c:v>
                </c:pt>
                <c:pt idx="23" formatCode="0.00">
                  <c:v>265.17576600000001</c:v>
                </c:pt>
                <c:pt idx="24" formatCode="0.00">
                  <c:v>101.8</c:v>
                </c:pt>
                <c:pt idx="25">
                  <c:v>107.3</c:v>
                </c:pt>
                <c:pt idx="26" formatCode="0.00">
                  <c:v>255.36480279000003</c:v>
                </c:pt>
                <c:pt idx="28" formatCode="0.00">
                  <c:v>13.9869056</c:v>
                </c:pt>
                <c:pt idx="29" formatCode="0.00">
                  <c:v>103</c:v>
                </c:pt>
                <c:pt idx="30" formatCode="0.00">
                  <c:v>9.5522354499999977</c:v>
                </c:pt>
                <c:pt idx="31" formatCode="0.00">
                  <c:v>101.29999999999998</c:v>
                </c:pt>
                <c:pt idx="32">
                  <c:v>0</c:v>
                </c:pt>
                <c:pt idx="33">
                  <c:v>0</c:v>
                </c:pt>
                <c:pt idx="34" formatCode="0.00">
                  <c:v>228.71389784000002</c:v>
                </c:pt>
                <c:pt idx="35" formatCode="0.00">
                  <c:v>101.89999999999999</c:v>
                </c:pt>
                <c:pt idx="36">
                  <c:v>0</c:v>
                </c:pt>
                <c:pt idx="38" formatCode="0.00">
                  <c:v>1.86632292</c:v>
                </c:pt>
                <c:pt idx="39" formatCode="0.00">
                  <c:v>103.60000000000001</c:v>
                </c:pt>
                <c:pt idx="40" formatCode="0.000">
                  <c:v>4.9796379999999994E-2</c:v>
                </c:pt>
                <c:pt idx="41" formatCode="0.00">
                  <c:v>105.1</c:v>
                </c:pt>
                <c:pt idx="42" formatCode="0.00">
                  <c:v>1.1701830000000002</c:v>
                </c:pt>
                <c:pt idx="43" formatCode="0.00">
                  <c:v>105</c:v>
                </c:pt>
                <c:pt idx="44" formatCode="0.000">
                  <c:v>2.5461600000000001E-2</c:v>
                </c:pt>
                <c:pt idx="48" formatCode="0">
                  <c:v>434.66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71.069999999999993</c:v>
                </c:pt>
                <c:pt idx="54" formatCode="0">
                  <c:v>160.68</c:v>
                </c:pt>
                <c:pt idx="55" formatCode="0">
                  <c:v>13.39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2035.28</c:v>
                </c:pt>
                <c:pt idx="60" formatCode="0">
                  <c:v>0</c:v>
                </c:pt>
                <c:pt idx="61" formatCode="0.00">
                  <c:v>9786.1691943000005</c:v>
                </c:pt>
                <c:pt idx="63" formatCode="0.0">
                  <c:v>302.52493640000006</c:v>
                </c:pt>
                <c:pt idx="64">
                  <c:v>0</c:v>
                </c:pt>
                <c:pt idx="65" formatCode="0.00">
                  <c:v>46531.861500000006</c:v>
                </c:pt>
                <c:pt idx="66" formatCode="0.00">
                  <c:v>348.85583819999999</c:v>
                </c:pt>
                <c:pt idx="67" formatCode="0.00">
                  <c:v>4589.4431612999997</c:v>
                </c:pt>
                <c:pt idx="68" formatCode="0.00">
                  <c:v>29.014704299999998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1039.1270400000001</c:v>
                </c:pt>
                <c:pt idx="74" formatCode="0.0">
                  <c:v>102</c:v>
                </c:pt>
                <c:pt idx="75">
                  <c:v>107.6</c:v>
                </c:pt>
                <c:pt idx="77" formatCode="0.00">
                  <c:v>93.132365231999998</c:v>
                </c:pt>
                <c:pt idx="78" formatCode="0.00">
                  <c:v>7.2542679999999997</c:v>
                </c:pt>
                <c:pt idx="79" formatCode="0.00">
                  <c:v>181.3886464</c:v>
                </c:pt>
                <c:pt idx="83">
                  <c:v>508059.4</c:v>
                </c:pt>
                <c:pt idx="84">
                  <c:v>104581.3</c:v>
                </c:pt>
                <c:pt idx="85">
                  <c:v>25627</c:v>
                </c:pt>
                <c:pt idx="87">
                  <c:v>6427</c:v>
                </c:pt>
                <c:pt idx="89">
                  <c:v>19200</c:v>
                </c:pt>
                <c:pt idx="90">
                  <c:v>28565</c:v>
                </c:pt>
                <c:pt idx="91">
                  <c:v>6865</c:v>
                </c:pt>
                <c:pt idx="92">
                  <c:v>21695</c:v>
                </c:pt>
                <c:pt idx="93">
                  <c:v>5</c:v>
                </c:pt>
                <c:pt idx="95">
                  <c:v>5463.3</c:v>
                </c:pt>
                <c:pt idx="96">
                  <c:v>33300</c:v>
                </c:pt>
                <c:pt idx="97">
                  <c:v>5618</c:v>
                </c:pt>
                <c:pt idx="100">
                  <c:v>2933</c:v>
                </c:pt>
                <c:pt idx="102">
                  <c:v>24749</c:v>
                </c:pt>
                <c:pt idx="103">
                  <c:v>370178.1</c:v>
                </c:pt>
                <c:pt idx="104">
                  <c:v>42567</c:v>
                </c:pt>
                <c:pt idx="105">
                  <c:v>306748.2</c:v>
                </c:pt>
                <c:pt idx="107">
                  <c:v>20863</c:v>
                </c:pt>
                <c:pt idx="109">
                  <c:v>508059.4</c:v>
                </c:pt>
                <c:pt idx="110">
                  <c:v>32819.800000000003</c:v>
                </c:pt>
                <c:pt idx="111">
                  <c:v>2539.5</c:v>
                </c:pt>
                <c:pt idx="113">
                  <c:v>36403.300000000003</c:v>
                </c:pt>
                <c:pt idx="114">
                  <c:v>1243.3</c:v>
                </c:pt>
                <c:pt idx="115">
                  <c:v>400847</c:v>
                </c:pt>
                <c:pt idx="116">
                  <c:v>14882.4</c:v>
                </c:pt>
                <c:pt idx="118">
                  <c:v>14206.2</c:v>
                </c:pt>
                <c:pt idx="120">
                  <c:v>13305</c:v>
                </c:pt>
                <c:pt idx="122">
                  <c:v>901.2</c:v>
                </c:pt>
                <c:pt idx="123">
                  <c:v>3995.9</c:v>
                </c:pt>
                <c:pt idx="126">
                  <c:v>0</c:v>
                </c:pt>
                <c:pt idx="128" formatCode="0.00">
                  <c:v>3375.6620724000004</c:v>
                </c:pt>
                <c:pt idx="130" formatCode="0.00">
                  <c:v>198.73720800000004</c:v>
                </c:pt>
                <c:pt idx="131" formatCode="0.00">
                  <c:v>1585.0285920000001</c:v>
                </c:pt>
                <c:pt idx="132" formatCode="0.00">
                  <c:v>1315.8979199999999</c:v>
                </c:pt>
                <c:pt idx="133" formatCode="0.00">
                  <c:v>1206.5622839999999</c:v>
                </c:pt>
                <c:pt idx="134" formatCode="0.00">
                  <c:v>109.35020160000001</c:v>
                </c:pt>
                <c:pt idx="135" formatCode="0.00">
                  <c:v>203.28687720000002</c:v>
                </c:pt>
                <c:pt idx="136" formatCode="0">
                  <c:v>0</c:v>
                </c:pt>
                <c:pt idx="137" formatCode="0.00">
                  <c:v>72.6989904</c:v>
                </c:pt>
                <c:pt idx="138" formatCode="0.00">
                  <c:v>5886.5831999999991</c:v>
                </c:pt>
                <c:pt idx="139" formatCode="0.00">
                  <c:v>10194.584126399999</c:v>
                </c:pt>
                <c:pt idx="141" formatCode="0.00">
                  <c:v>263.11715999999996</c:v>
                </c:pt>
                <c:pt idx="142" formatCode="0.00">
                  <c:v>9297.9507599999997</c:v>
                </c:pt>
                <c:pt idx="143" formatCode="0.00">
                  <c:v>529.04131919999998</c:v>
                </c:pt>
                <c:pt idx="145" formatCode="0.00">
                  <c:v>-6818.9220539999988</c:v>
                </c:pt>
                <c:pt idx="147" formatCode="0">
                  <c:v>22835.553692000001</c:v>
                </c:pt>
                <c:pt idx="148" formatCode="0">
                  <c:v>16628.185279999998</c:v>
                </c:pt>
                <c:pt idx="150" formatCode="0">
                  <c:v>5105.6005000000005</c:v>
                </c:pt>
                <c:pt idx="151" formatCode="0">
                  <c:v>0</c:v>
                </c:pt>
                <c:pt idx="152" formatCode="0">
                  <c:v>2680.8228000000004</c:v>
                </c:pt>
                <c:pt idx="153" formatCode="0">
                  <c:v>0</c:v>
                </c:pt>
                <c:pt idx="154" formatCode="0">
                  <c:v>2430.8982999999998</c:v>
                </c:pt>
                <c:pt idx="155" formatCode="0">
                  <c:v>0</c:v>
                </c:pt>
                <c:pt idx="156" formatCode="0">
                  <c:v>1147.6125</c:v>
                </c:pt>
                <c:pt idx="157" formatCode="0">
                  <c:v>682.44690000000003</c:v>
                </c:pt>
                <c:pt idx="158" formatCode="0">
                  <c:v>0</c:v>
                </c:pt>
                <c:pt idx="159" formatCode="0">
                  <c:v>758.95440000000008</c:v>
                </c:pt>
                <c:pt idx="160" formatCode="0">
                  <c:v>86.708499999999987</c:v>
                </c:pt>
                <c:pt idx="161" formatCode="0">
                  <c:v>99.969799999999992</c:v>
                </c:pt>
                <c:pt idx="162" formatCode="0">
                  <c:v>895.64779999999996</c:v>
                </c:pt>
                <c:pt idx="163" formatCode="0">
                  <c:v>1602.5771</c:v>
                </c:pt>
                <c:pt idx="164" formatCode="0">
                  <c:v>1694.3860999999999</c:v>
                </c:pt>
                <c:pt idx="165" formatCode="0">
                  <c:v>688.5675</c:v>
                </c:pt>
                <c:pt idx="166" formatCode="0">
                  <c:v>7560.9812000000002</c:v>
                </c:pt>
                <c:pt idx="167">
                  <c:v>1596.787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2075.9034999999999</c:v>
                </c:pt>
                <c:pt idx="173" formatCode="0">
                  <c:v>5923.7206999999999</c:v>
                </c:pt>
                <c:pt idx="176" formatCode="0.00">
                  <c:v>80.991740829999983</c:v>
                </c:pt>
                <c:pt idx="178" formatCode="0.00">
                  <c:v>125.21098544003281</c:v>
                </c:pt>
                <c:pt idx="179" formatCode="0.00">
                  <c:v>204.08404713454166</c:v>
                </c:pt>
                <c:pt idx="180" formatCode="0.00">
                  <c:v>41.013992081144607</c:v>
                </c:pt>
                <c:pt idx="181" formatCode="0.00">
                  <c:v>41.013992081144607</c:v>
                </c:pt>
                <c:pt idx="182" formatCode="0.00">
                  <c:v>41.013992081144607</c:v>
                </c:pt>
                <c:pt idx="183" formatCode="0.00">
                  <c:v>0.19718265423627213</c:v>
                </c:pt>
                <c:pt idx="185" formatCode="0.00">
                  <c:v>2.1182988430829397</c:v>
                </c:pt>
                <c:pt idx="186" formatCode="0.00">
                  <c:v>9863.0539999999983</c:v>
                </c:pt>
                <c:pt idx="190" formatCode="0.00">
                  <c:v>9863.0539999999983</c:v>
                </c:pt>
                <c:pt idx="192">
                  <c:v>19.5</c:v>
                </c:pt>
                <c:pt idx="193" formatCode="0.00">
                  <c:v>57393.258000000002</c:v>
                </c:pt>
                <c:pt idx="194" formatCode="0.00">
                  <c:v>59.187610999999997</c:v>
                </c:pt>
                <c:pt idx="195" formatCode="0.0">
                  <c:v>11576.540800000001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5"/>
          <c:order val="5"/>
          <c:val>
            <c:numRef>
              <c:f>Лист1!$F$41:$F$249</c:f>
              <c:numCache>
                <c:formatCode>General</c:formatCode>
                <c:ptCount val="205"/>
                <c:pt idx="0">
                  <c:v>2.1</c:v>
                </c:pt>
                <c:pt idx="1">
                  <c:v>0</c:v>
                </c:pt>
                <c:pt idx="2">
                  <c:v>2.7</c:v>
                </c:pt>
                <c:pt idx="4">
                  <c:v>20042.054025480003</c:v>
                </c:pt>
                <c:pt idx="5">
                  <c:v>101.8</c:v>
                </c:pt>
                <c:pt idx="6">
                  <c:v>9978.7747500000005</c:v>
                </c:pt>
                <c:pt idx="7">
                  <c:v>102.50000000000001</c:v>
                </c:pt>
                <c:pt idx="8" formatCode="0.00">
                  <c:v>41.731904213999997</c:v>
                </c:pt>
                <c:pt idx="9" formatCode="0.00">
                  <c:v>100.50000000000001</c:v>
                </c:pt>
                <c:pt idx="10" formatCode="0.00">
                  <c:v>20.433994899999998</c:v>
                </c:pt>
                <c:pt idx="11">
                  <c:v>103</c:v>
                </c:pt>
                <c:pt idx="12" formatCode="0.00">
                  <c:v>666.58540487999994</c:v>
                </c:pt>
                <c:pt idx="13" formatCode="0.00">
                  <c:v>103.2</c:v>
                </c:pt>
                <c:pt idx="14">
                  <c:v>107.4</c:v>
                </c:pt>
                <c:pt idx="17" formatCode="0.00">
                  <c:v>2122.64754786</c:v>
                </c:pt>
                <c:pt idx="18" formatCode="0.00">
                  <c:v>103.49999999999999</c:v>
                </c:pt>
                <c:pt idx="19">
                  <c:v>105.6</c:v>
                </c:pt>
                <c:pt idx="20">
                  <c:v>1598.5662524089996</c:v>
                </c:pt>
                <c:pt idx="21">
                  <c:v>102.1</c:v>
                </c:pt>
                <c:pt idx="22">
                  <c:v>105.6</c:v>
                </c:pt>
                <c:pt idx="23" formatCode="0.00">
                  <c:v>271.27480861800001</c:v>
                </c:pt>
                <c:pt idx="24" formatCode="0.00">
                  <c:v>102.3</c:v>
                </c:pt>
                <c:pt idx="25">
                  <c:v>108.8</c:v>
                </c:pt>
                <c:pt idx="26" formatCode="0.00">
                  <c:v>262.70942366227996</c:v>
                </c:pt>
                <c:pt idx="28" formatCode="0.00">
                  <c:v>14.406512768000001</c:v>
                </c:pt>
                <c:pt idx="29" formatCode="0.00">
                  <c:v>103</c:v>
                </c:pt>
                <c:pt idx="30" formatCode="0.00">
                  <c:v>9.8579069843999978</c:v>
                </c:pt>
                <c:pt idx="31" formatCode="0.00">
                  <c:v>103.2</c:v>
                </c:pt>
                <c:pt idx="32">
                  <c:v>0</c:v>
                </c:pt>
                <c:pt idx="33">
                  <c:v>0</c:v>
                </c:pt>
                <c:pt idx="34" formatCode="0.00">
                  <c:v>235.11788697951999</c:v>
                </c:pt>
                <c:pt idx="35" formatCode="0.00">
                  <c:v>102.79999999999998</c:v>
                </c:pt>
                <c:pt idx="36">
                  <c:v>0</c:v>
                </c:pt>
                <c:pt idx="38" formatCode="0.00">
                  <c:v>2.0118961077600002</c:v>
                </c:pt>
                <c:pt idx="39" formatCode="0.00">
                  <c:v>107.80000000000001</c:v>
                </c:pt>
                <c:pt idx="40" formatCode="0.000">
                  <c:v>5.3282126599999993E-2</c:v>
                </c:pt>
                <c:pt idx="41" formatCode="0.00">
                  <c:v>107</c:v>
                </c:pt>
                <c:pt idx="42" formatCode="0.00">
                  <c:v>1.2357132480000002</c:v>
                </c:pt>
                <c:pt idx="43" formatCode="0.00">
                  <c:v>105.60000000000001</c:v>
                </c:pt>
                <c:pt idx="44" formatCode="0.000">
                  <c:v>2.6225447999999998E-2</c:v>
                </c:pt>
                <c:pt idx="48" formatCode="0">
                  <c:v>447.69980000000004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73.202099999999987</c:v>
                </c:pt>
                <c:pt idx="54" formatCode="0">
                  <c:v>165.50040000000001</c:v>
                </c:pt>
                <c:pt idx="55" formatCode="0">
                  <c:v>13.791700000000001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2096.3384000000001</c:v>
                </c:pt>
                <c:pt idx="60" formatCode="0">
                  <c:v>0</c:v>
                </c:pt>
                <c:pt idx="61" formatCode="0.00">
                  <c:v>9884.0308862430011</c:v>
                </c:pt>
                <c:pt idx="63" formatCode="0.0">
                  <c:v>305.55018576400005</c:v>
                </c:pt>
                <c:pt idx="64">
                  <c:v>0</c:v>
                </c:pt>
                <c:pt idx="65">
                  <c:v>46997.18011500001</c:v>
                </c:pt>
                <c:pt idx="66">
                  <c:v>352.34439658199994</c:v>
                </c:pt>
                <c:pt idx="67" formatCode="0.00">
                  <c:v>4635.3375929129998</c:v>
                </c:pt>
                <c:pt idx="68" formatCode="0.00">
                  <c:v>29.304851342999999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1059.9095808000002</c:v>
                </c:pt>
                <c:pt idx="74" formatCode="0.0">
                  <c:v>102</c:v>
                </c:pt>
                <c:pt idx="75">
                  <c:v>106.5</c:v>
                </c:pt>
                <c:pt idx="77" formatCode="0.00">
                  <c:v>94.808747806176001</c:v>
                </c:pt>
                <c:pt idx="78" formatCode="0.00">
                  <c:v>7.3848448239999991</c:v>
                </c:pt>
                <c:pt idx="79" formatCode="0.00">
                  <c:v>188.644192256</c:v>
                </c:pt>
                <c:pt idx="83">
                  <c:v>513141</c:v>
                </c:pt>
                <c:pt idx="84">
                  <c:v>105627</c:v>
                </c:pt>
                <c:pt idx="85">
                  <c:v>25883</c:v>
                </c:pt>
                <c:pt idx="87">
                  <c:v>6491</c:v>
                </c:pt>
                <c:pt idx="89">
                  <c:v>19392</c:v>
                </c:pt>
                <c:pt idx="90">
                  <c:v>28851</c:v>
                </c:pt>
                <c:pt idx="91">
                  <c:v>6934</c:v>
                </c:pt>
                <c:pt idx="92">
                  <c:v>21912</c:v>
                </c:pt>
                <c:pt idx="93">
                  <c:v>5</c:v>
                </c:pt>
                <c:pt idx="95">
                  <c:v>5518</c:v>
                </c:pt>
                <c:pt idx="96">
                  <c:v>33633</c:v>
                </c:pt>
                <c:pt idx="97">
                  <c:v>5674</c:v>
                </c:pt>
                <c:pt idx="100">
                  <c:v>2962</c:v>
                </c:pt>
                <c:pt idx="102">
                  <c:v>24997</c:v>
                </c:pt>
                <c:pt idx="103">
                  <c:v>373881</c:v>
                </c:pt>
                <c:pt idx="104">
                  <c:v>42993</c:v>
                </c:pt>
                <c:pt idx="105">
                  <c:v>309816</c:v>
                </c:pt>
                <c:pt idx="107">
                  <c:v>21072</c:v>
                </c:pt>
                <c:pt idx="109">
                  <c:v>513141</c:v>
                </c:pt>
                <c:pt idx="110">
                  <c:v>33148</c:v>
                </c:pt>
                <c:pt idx="111">
                  <c:v>2585</c:v>
                </c:pt>
                <c:pt idx="113">
                  <c:v>36768</c:v>
                </c:pt>
                <c:pt idx="114">
                  <c:v>1256</c:v>
                </c:pt>
                <c:pt idx="115">
                  <c:v>404850</c:v>
                </c:pt>
                <c:pt idx="116">
                  <c:v>15031</c:v>
                </c:pt>
                <c:pt idx="118">
                  <c:v>14348</c:v>
                </c:pt>
                <c:pt idx="120">
                  <c:v>13438</c:v>
                </c:pt>
                <c:pt idx="122">
                  <c:v>910</c:v>
                </c:pt>
                <c:pt idx="123">
                  <c:v>4036</c:v>
                </c:pt>
                <c:pt idx="126">
                  <c:v>0</c:v>
                </c:pt>
                <c:pt idx="128" formatCode="0.00">
                  <c:v>3443.1753138480003</c:v>
                </c:pt>
                <c:pt idx="130" formatCode="0.00">
                  <c:v>202.71195216000004</c:v>
                </c:pt>
                <c:pt idx="131" formatCode="0.00">
                  <c:v>1616.7291638400002</c:v>
                </c:pt>
                <c:pt idx="132" formatCode="0.00">
                  <c:v>1342.2158783999998</c:v>
                </c:pt>
                <c:pt idx="133" formatCode="0.00">
                  <c:v>1230.69352968</c:v>
                </c:pt>
                <c:pt idx="134" formatCode="0.00">
                  <c:v>111.53720563200001</c:v>
                </c:pt>
                <c:pt idx="135" formatCode="0.00">
                  <c:v>207.35261474400002</c:v>
                </c:pt>
                <c:pt idx="136" formatCode="0">
                  <c:v>0</c:v>
                </c:pt>
                <c:pt idx="137" formatCode="0.00">
                  <c:v>74.152970207999999</c:v>
                </c:pt>
                <c:pt idx="138" formatCode="0.00">
                  <c:v>6004.314863999999</c:v>
                </c:pt>
                <c:pt idx="139" formatCode="0.00">
                  <c:v>10398.475808927999</c:v>
                </c:pt>
                <c:pt idx="141" formatCode="0.00">
                  <c:v>268.37950319999999</c:v>
                </c:pt>
                <c:pt idx="142" formatCode="0.00">
                  <c:v>9483.9097751999998</c:v>
                </c:pt>
                <c:pt idx="143" formatCode="0.00">
                  <c:v>539.62214558400001</c:v>
                </c:pt>
                <c:pt idx="145" formatCode="0.00">
                  <c:v>-6955.3004950799987</c:v>
                </c:pt>
                <c:pt idx="147" formatCode="0">
                  <c:v>23337.935873224003</c:v>
                </c:pt>
                <c:pt idx="148" formatCode="0">
                  <c:v>16994.005356159996</c:v>
                </c:pt>
                <c:pt idx="150" formatCode="0">
                  <c:v>5156.6565050000008</c:v>
                </c:pt>
                <c:pt idx="151" formatCode="0">
                  <c:v>0</c:v>
                </c:pt>
                <c:pt idx="152" formatCode="0">
                  <c:v>2707.6310280000007</c:v>
                </c:pt>
                <c:pt idx="153" formatCode="0">
                  <c:v>0</c:v>
                </c:pt>
                <c:pt idx="154" formatCode="0">
                  <c:v>2455.2072829999997</c:v>
                </c:pt>
                <c:pt idx="155" formatCode="0">
                  <c:v>0</c:v>
                </c:pt>
                <c:pt idx="156" formatCode="0">
                  <c:v>1159.0886249999999</c:v>
                </c:pt>
                <c:pt idx="157" formatCode="0">
                  <c:v>689.27136899999994</c:v>
                </c:pt>
                <c:pt idx="158" formatCode="0">
                  <c:v>0</c:v>
                </c:pt>
                <c:pt idx="159" formatCode="0">
                  <c:v>766.54394400000001</c:v>
                </c:pt>
                <c:pt idx="160" formatCode="0">
                  <c:v>87.57558499999999</c:v>
                </c:pt>
                <c:pt idx="161" formatCode="0">
                  <c:v>100.96949799999999</c:v>
                </c:pt>
                <c:pt idx="162" formatCode="0">
                  <c:v>904.60427799999991</c:v>
                </c:pt>
                <c:pt idx="163" formatCode="0">
                  <c:v>1618.6028709999998</c:v>
                </c:pt>
                <c:pt idx="164" formatCode="0">
                  <c:v>1711.3299609999999</c:v>
                </c:pt>
                <c:pt idx="165" formatCode="0">
                  <c:v>695.4531750000001</c:v>
                </c:pt>
                <c:pt idx="166" formatCode="0">
                  <c:v>7636.5910120000008</c:v>
                </c:pt>
                <c:pt idx="167">
                  <c:v>1597.787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2096.6625349999999</c:v>
                </c:pt>
                <c:pt idx="173" formatCode="0">
                  <c:v>5982.957907</c:v>
                </c:pt>
                <c:pt idx="176" formatCode="0.00">
                  <c:v>81.07273257082997</c:v>
                </c:pt>
                <c:pt idx="178" formatCode="0.00">
                  <c:v>122.3958801955355</c:v>
                </c:pt>
                <c:pt idx="179" formatCode="0.00">
                  <c:v>199.4956472478413</c:v>
                </c:pt>
                <c:pt idx="180" formatCode="0.00">
                  <c:v>40.091878867199028</c:v>
                </c:pt>
                <c:pt idx="181" formatCode="0.00">
                  <c:v>40.091878867199028</c:v>
                </c:pt>
                <c:pt idx="182" formatCode="0.00">
                  <c:v>40.091878867199028</c:v>
                </c:pt>
                <c:pt idx="183" formatCode="0.00">
                  <c:v>0.19274941763076456</c:v>
                </c:pt>
                <c:pt idx="185" formatCode="0.00">
                  <c:v>2.1182988430829397</c:v>
                </c:pt>
                <c:pt idx="186" formatCode="0.00">
                  <c:v>9961.6845399999984</c:v>
                </c:pt>
                <c:pt idx="190" formatCode="0.00">
                  <c:v>9961.6845399999984</c:v>
                </c:pt>
                <c:pt idx="192">
                  <c:v>19.600000000000001</c:v>
                </c:pt>
                <c:pt idx="193" formatCode="0.00">
                  <c:v>58541.123160000003</c:v>
                </c:pt>
                <c:pt idx="194" formatCode="0.00">
                  <c:v>60.963239329999993</c:v>
                </c:pt>
                <c:pt idx="195">
                  <c:v>11923.837024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6"/>
          <c:order val="6"/>
          <c:val>
            <c:numRef>
              <c:f>Лист1!$G$41:$G$249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20102.180187556442</c:v>
                </c:pt>
                <c:pt idx="5">
                  <c:v>100.29999999999998</c:v>
                </c:pt>
                <c:pt idx="6">
                  <c:v>10258.180443000001</c:v>
                </c:pt>
                <c:pt idx="7">
                  <c:v>102.8</c:v>
                </c:pt>
                <c:pt idx="8" formatCode="0.00">
                  <c:v>42.065759447711997</c:v>
                </c:pt>
                <c:pt idx="9" formatCode="0.00">
                  <c:v>100.8</c:v>
                </c:pt>
                <c:pt idx="10" formatCode="0.00">
                  <c:v>21.047014746999999</c:v>
                </c:pt>
                <c:pt idx="11">
                  <c:v>103</c:v>
                </c:pt>
                <c:pt idx="12" formatCode="0.00">
                  <c:v>685.91638162152003</c:v>
                </c:pt>
                <c:pt idx="13" formatCode="0.00">
                  <c:v>102.90000000000002</c:v>
                </c:pt>
                <c:pt idx="14">
                  <c:v>106.7</c:v>
                </c:pt>
                <c:pt idx="17" formatCode="0.00">
                  <c:v>2162.9778512693401</c:v>
                </c:pt>
                <c:pt idx="18" formatCode="0.00">
                  <c:v>101.9</c:v>
                </c:pt>
                <c:pt idx="19">
                  <c:v>104.9</c:v>
                </c:pt>
                <c:pt idx="20">
                  <c:v>1680.0931312818584</c:v>
                </c:pt>
                <c:pt idx="21">
                  <c:v>105.1</c:v>
                </c:pt>
                <c:pt idx="22">
                  <c:v>104.9</c:v>
                </c:pt>
                <c:pt idx="23" formatCode="0.00">
                  <c:v>276.971579598978</c:v>
                </c:pt>
                <c:pt idx="24" formatCode="0.00">
                  <c:v>102.1</c:v>
                </c:pt>
                <c:pt idx="25">
                  <c:v>107.6</c:v>
                </c:pt>
                <c:pt idx="26" formatCode="0.00">
                  <c:v>272.63089278061744</c:v>
                </c:pt>
                <c:pt idx="28" formatCode="0.00">
                  <c:v>14.838708151040001</c:v>
                </c:pt>
                <c:pt idx="29" formatCode="0.00">
                  <c:v>103</c:v>
                </c:pt>
                <c:pt idx="30" formatCode="0.00">
                  <c:v>10.222649542822797</c:v>
                </c:pt>
                <c:pt idx="31" formatCode="0.00">
                  <c:v>103.69999999999999</c:v>
                </c:pt>
                <c:pt idx="32">
                  <c:v>0</c:v>
                </c:pt>
                <c:pt idx="33">
                  <c:v>0</c:v>
                </c:pt>
                <c:pt idx="34" formatCode="0.00">
                  <c:v>244.05236668474174</c:v>
                </c:pt>
                <c:pt idx="35" formatCode="0.00">
                  <c:v>103.8</c:v>
                </c:pt>
                <c:pt idx="36">
                  <c:v>0</c:v>
                </c:pt>
                <c:pt idx="38" formatCode="0.00">
                  <c:v>2.0883481598548799</c:v>
                </c:pt>
                <c:pt idx="39" formatCode="0.00">
                  <c:v>103.79999999999998</c:v>
                </c:pt>
                <c:pt idx="40" formatCode="0.000">
                  <c:v>5.4880590397999994E-2</c:v>
                </c:pt>
                <c:pt idx="41" formatCode="0.00">
                  <c:v>103</c:v>
                </c:pt>
                <c:pt idx="42" formatCode="0.00">
                  <c:v>1.34692744032</c:v>
                </c:pt>
                <c:pt idx="43" formatCode="0.00">
                  <c:v>108.99999999999999</c:v>
                </c:pt>
                <c:pt idx="44" formatCode="0.000">
                  <c:v>2.7012211439999999E-2</c:v>
                </c:pt>
                <c:pt idx="48" formatCode="0">
                  <c:v>461.13079400000004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75.398162999999983</c:v>
                </c:pt>
                <c:pt idx="54" formatCode="0">
                  <c:v>170.46541199999999</c:v>
                </c:pt>
                <c:pt idx="55" formatCode="0">
                  <c:v>14.205451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2159.228552</c:v>
                </c:pt>
                <c:pt idx="60" formatCode="0">
                  <c:v>0</c:v>
                </c:pt>
                <c:pt idx="61" formatCode="0.00">
                  <c:v>9982.8711951054302</c:v>
                </c:pt>
                <c:pt idx="63" formatCode="0.0">
                  <c:v>308.60568762164007</c:v>
                </c:pt>
                <c:pt idx="64">
                  <c:v>0</c:v>
                </c:pt>
                <c:pt idx="65">
                  <c:v>47467.151916150011</c:v>
                </c:pt>
                <c:pt idx="66">
                  <c:v>355.86784054781992</c:v>
                </c:pt>
                <c:pt idx="67" formatCode="0.00">
                  <c:v>4681.6909688421301</c:v>
                </c:pt>
                <c:pt idx="68" formatCode="0.00">
                  <c:v>29.597899856430001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1081.1077724160002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96.515305266687179</c:v>
                </c:pt>
                <c:pt idx="78" formatCode="0.00">
                  <c:v>7.5177720308319991</c:v>
                </c:pt>
                <c:pt idx="79" formatCode="0.00">
                  <c:v>196.18995994623998</c:v>
                </c:pt>
                <c:pt idx="83">
                  <c:v>518272.41</c:v>
                </c:pt>
                <c:pt idx="84">
                  <c:v>106683.27</c:v>
                </c:pt>
                <c:pt idx="85">
                  <c:v>26141.83</c:v>
                </c:pt>
                <c:pt idx="87">
                  <c:v>6555.91</c:v>
                </c:pt>
                <c:pt idx="89">
                  <c:v>19585.919999999998</c:v>
                </c:pt>
                <c:pt idx="90">
                  <c:v>29139.51</c:v>
                </c:pt>
                <c:pt idx="91">
                  <c:v>7003.34</c:v>
                </c:pt>
                <c:pt idx="92">
                  <c:v>22131.119999999999</c:v>
                </c:pt>
                <c:pt idx="93" formatCode="0.0">
                  <c:v>5.05</c:v>
                </c:pt>
                <c:pt idx="95">
                  <c:v>5573.18</c:v>
                </c:pt>
                <c:pt idx="96">
                  <c:v>33969.33</c:v>
                </c:pt>
                <c:pt idx="97">
                  <c:v>5730.74</c:v>
                </c:pt>
                <c:pt idx="100">
                  <c:v>2991.62</c:v>
                </c:pt>
                <c:pt idx="102">
                  <c:v>25246.97</c:v>
                </c:pt>
                <c:pt idx="103">
                  <c:v>377619.81</c:v>
                </c:pt>
                <c:pt idx="104">
                  <c:v>43422.93</c:v>
                </c:pt>
                <c:pt idx="105">
                  <c:v>312914.15999999997</c:v>
                </c:pt>
                <c:pt idx="107">
                  <c:v>21282.720000000001</c:v>
                </c:pt>
                <c:pt idx="109">
                  <c:v>518272.41</c:v>
                </c:pt>
                <c:pt idx="110">
                  <c:v>33479.480000000003</c:v>
                </c:pt>
                <c:pt idx="111">
                  <c:v>2610.85</c:v>
                </c:pt>
                <c:pt idx="113">
                  <c:v>37135.68</c:v>
                </c:pt>
                <c:pt idx="114">
                  <c:v>1268.56</c:v>
                </c:pt>
                <c:pt idx="115">
                  <c:v>408898.5</c:v>
                </c:pt>
                <c:pt idx="116">
                  <c:v>15181.31</c:v>
                </c:pt>
                <c:pt idx="118">
                  <c:v>14491.48</c:v>
                </c:pt>
                <c:pt idx="120">
                  <c:v>13572.38</c:v>
                </c:pt>
                <c:pt idx="122">
                  <c:v>919.1</c:v>
                </c:pt>
                <c:pt idx="123">
                  <c:v>4076.36</c:v>
                </c:pt>
                <c:pt idx="126">
                  <c:v>0</c:v>
                </c:pt>
                <c:pt idx="128" formatCode="0.00">
                  <c:v>3512.0388201249602</c:v>
                </c:pt>
                <c:pt idx="130" formatCode="0.00">
                  <c:v>206.76619120320004</c:v>
                </c:pt>
                <c:pt idx="131" formatCode="0.00">
                  <c:v>1649.0637471168002</c:v>
                </c:pt>
                <c:pt idx="132" formatCode="0.00">
                  <c:v>1369.0601959679998</c:v>
                </c:pt>
                <c:pt idx="133" formatCode="0.00">
                  <c:v>1255.3074002736</c:v>
                </c:pt>
                <c:pt idx="134" formatCode="0.00">
                  <c:v>113.76794974464001</c:v>
                </c:pt>
                <c:pt idx="135" formatCode="0.00">
                  <c:v>211.49966703888003</c:v>
                </c:pt>
                <c:pt idx="136" formatCode="0">
                  <c:v>0</c:v>
                </c:pt>
                <c:pt idx="137" formatCode="0.00">
                  <c:v>75.636029612160002</c:v>
                </c:pt>
                <c:pt idx="138" formatCode="0.00">
                  <c:v>6124.4011612799986</c:v>
                </c:pt>
                <c:pt idx="139" formatCode="0.00">
                  <c:v>10606.445325106559</c:v>
                </c:pt>
                <c:pt idx="141" formatCode="0.00">
                  <c:v>273.747093264</c:v>
                </c:pt>
                <c:pt idx="142" formatCode="0.00">
                  <c:v>9673.5879707040003</c:v>
                </c:pt>
                <c:pt idx="143" formatCode="0.00">
                  <c:v>550.41458849568005</c:v>
                </c:pt>
                <c:pt idx="145" formatCode="0.00">
                  <c:v>-7094.4065049815981</c:v>
                </c:pt>
                <c:pt idx="147" formatCode="0">
                  <c:v>23851.370462434934</c:v>
                </c:pt>
                <c:pt idx="148" formatCode="0">
                  <c:v>17367.873473995518</c:v>
                </c:pt>
                <c:pt idx="150" formatCode="0">
                  <c:v>5208.2230700500004</c:v>
                </c:pt>
                <c:pt idx="151" formatCode="0">
                  <c:v>0</c:v>
                </c:pt>
                <c:pt idx="152" formatCode="0">
                  <c:v>2734.7073382800008</c:v>
                </c:pt>
                <c:pt idx="153" formatCode="0">
                  <c:v>0</c:v>
                </c:pt>
                <c:pt idx="154" formatCode="0">
                  <c:v>2479.75935583</c:v>
                </c:pt>
                <c:pt idx="155" formatCode="0">
                  <c:v>0</c:v>
                </c:pt>
                <c:pt idx="156" formatCode="0">
                  <c:v>1170.6795112499999</c:v>
                </c:pt>
                <c:pt idx="157" formatCode="0">
                  <c:v>696.16408268999987</c:v>
                </c:pt>
                <c:pt idx="158" formatCode="0">
                  <c:v>0</c:v>
                </c:pt>
                <c:pt idx="159" formatCode="0">
                  <c:v>774.2093834399999</c:v>
                </c:pt>
                <c:pt idx="160" formatCode="0">
                  <c:v>88.451340849999994</c:v>
                </c:pt>
                <c:pt idx="161" formatCode="0">
                  <c:v>101.97919297999999</c:v>
                </c:pt>
                <c:pt idx="162" formatCode="0">
                  <c:v>913.6503207799999</c:v>
                </c:pt>
                <c:pt idx="163" formatCode="0">
                  <c:v>1634.7888997099997</c:v>
                </c:pt>
                <c:pt idx="164" formatCode="0">
                  <c:v>1728.4432606099999</c:v>
                </c:pt>
                <c:pt idx="165" formatCode="0">
                  <c:v>702.4077067500001</c:v>
                </c:pt>
                <c:pt idx="166" formatCode="0">
                  <c:v>7712.9569221199999</c:v>
                </c:pt>
                <c:pt idx="167">
                  <c:v>1598.787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2117.6291603499999</c:v>
                </c:pt>
                <c:pt idx="173" formatCode="0">
                  <c:v>6042.7874860699994</c:v>
                </c:pt>
                <c:pt idx="176" formatCode="0.00">
                  <c:v>81.153805303400802</c:v>
                </c:pt>
                <c:pt idx="178" formatCode="0.00">
                  <c:v>119.41061482491268</c:v>
                </c:pt>
                <c:pt idx="179">
                  <c:v>194.62989975399154</c:v>
                </c:pt>
                <c:pt idx="180" formatCode="0.00">
                  <c:v>39.114028163121006</c:v>
                </c:pt>
                <c:pt idx="181" formatCode="0.00">
                  <c:v>39.114028163121006</c:v>
                </c:pt>
                <c:pt idx="182" formatCode="0.00">
                  <c:v>39.114028163121006</c:v>
                </c:pt>
                <c:pt idx="183" formatCode="0.00">
                  <c:v>0.18804821232269714</c:v>
                </c:pt>
                <c:pt idx="185" formatCode="0.00">
                  <c:v>2.1182988430829397</c:v>
                </c:pt>
                <c:pt idx="186" formatCode="0.00">
                  <c:v>10061.301385399998</c:v>
                </c:pt>
                <c:pt idx="190" formatCode="0.00">
                  <c:v>10061.301385399998</c:v>
                </c:pt>
                <c:pt idx="192">
                  <c:v>19.7</c:v>
                </c:pt>
                <c:pt idx="193" formatCode="0.00">
                  <c:v>59711.945623200008</c:v>
                </c:pt>
                <c:pt idx="194" formatCode="0.00">
                  <c:v>62.79213650989999</c:v>
                </c:pt>
                <c:pt idx="195">
                  <c:v>12281.552134720001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7"/>
          <c:order val="7"/>
          <c:val>
            <c:numRef>
              <c:f>Лист1!$H$41:$H$249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20182.588908306669</c:v>
                </c:pt>
                <c:pt idx="5">
                  <c:v>100.4</c:v>
                </c:pt>
                <c:pt idx="6">
                  <c:v>10576.184036733001</c:v>
                </c:pt>
                <c:pt idx="7">
                  <c:v>103.1</c:v>
                </c:pt>
                <c:pt idx="8" formatCode="0.00">
                  <c:v>42.318154004398266</c:v>
                </c:pt>
                <c:pt idx="9" formatCode="0.00">
                  <c:v>100.6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722.26994984746057</c:v>
                </c:pt>
                <c:pt idx="13" formatCode="0.00">
                  <c:v>105.3</c:v>
                </c:pt>
                <c:pt idx="14">
                  <c:v>106.7</c:v>
                </c:pt>
                <c:pt idx="17" formatCode="0.00">
                  <c:v>2245.1710096175752</c:v>
                </c:pt>
                <c:pt idx="18" formatCode="0.00">
                  <c:v>103.8</c:v>
                </c:pt>
                <c:pt idx="19">
                  <c:v>104.9</c:v>
                </c:pt>
                <c:pt idx="20">
                  <c:v>1727.1357389577504</c:v>
                </c:pt>
                <c:pt idx="21">
                  <c:v>102.8</c:v>
                </c:pt>
                <c:pt idx="22">
                  <c:v>104.9</c:v>
                </c:pt>
                <c:pt idx="23" formatCode="0.00">
                  <c:v>281.68009645216063</c:v>
                </c:pt>
                <c:pt idx="24" formatCode="0.00">
                  <c:v>101.69999999999999</c:v>
                </c:pt>
                <c:pt idx="25">
                  <c:v>107.6</c:v>
                </c:pt>
                <c:pt idx="26" formatCode="0.00">
                  <c:v>282.51493235255168</c:v>
                </c:pt>
                <c:pt idx="28" formatCode="0.00">
                  <c:v>15.2838693955712</c:v>
                </c:pt>
                <c:pt idx="29" formatCode="0.00">
                  <c:v>103</c:v>
                </c:pt>
                <c:pt idx="30" formatCode="0.00">
                  <c:v>10.51910637956466</c:v>
                </c:pt>
                <c:pt idx="31" formatCode="0.00">
                  <c:v>102.90000000000002</c:v>
                </c:pt>
                <c:pt idx="32">
                  <c:v>0</c:v>
                </c:pt>
                <c:pt idx="33">
                  <c:v>0</c:v>
                </c:pt>
                <c:pt idx="34" formatCode="0.00">
                  <c:v>252.83825188539242</c:v>
                </c:pt>
                <c:pt idx="35" formatCode="0.00">
                  <c:v>103.59999999999998</c:v>
                </c:pt>
                <c:pt idx="36">
                  <c:v>0</c:v>
                </c:pt>
                <c:pt idx="38" formatCode="0.00">
                  <c:v>2.2909179313608035</c:v>
                </c:pt>
                <c:pt idx="39" formatCode="0.00">
                  <c:v>109.70000000000002</c:v>
                </c:pt>
                <c:pt idx="40" formatCode="0.000">
                  <c:v>5.9874724124217994E-2</c:v>
                </c:pt>
                <c:pt idx="41" formatCode="0.00">
                  <c:v>109.1</c:v>
                </c:pt>
                <c:pt idx="42" formatCode="0.00">
                  <c:v>1.4950894587551999</c:v>
                </c:pt>
                <c:pt idx="43" formatCode="0.00">
                  <c:v>110.99999999999999</c:v>
                </c:pt>
                <c:pt idx="44" formatCode="0.000">
                  <c:v>2.7822577783199999E-2</c:v>
                </c:pt>
                <c:pt idx="48" formatCode="0">
                  <c:v>474.96471782000003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77.660107889999978</c:v>
                </c:pt>
                <c:pt idx="54" formatCode="0">
                  <c:v>175.57937436</c:v>
                </c:pt>
                <c:pt idx="55" formatCode="0">
                  <c:v>14.63161453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2224.00540856</c:v>
                </c:pt>
                <c:pt idx="60" formatCode="0">
                  <c:v>0</c:v>
                </c:pt>
                <c:pt idx="61" formatCode="0.00">
                  <c:v>10082.699907056485</c:v>
                </c:pt>
                <c:pt idx="63" formatCode="0.0">
                  <c:v>311.69174449785646</c:v>
                </c:pt>
                <c:pt idx="64">
                  <c:v>0</c:v>
                </c:pt>
                <c:pt idx="65">
                  <c:v>47941.823435311511</c:v>
                </c:pt>
                <c:pt idx="66" formatCode="0.00">
                  <c:v>359.42651895329817</c:v>
                </c:pt>
                <c:pt idx="67" formatCode="0.00">
                  <c:v>4728.5078785305514</c:v>
                </c:pt>
                <c:pt idx="68" formatCode="0.00">
                  <c:v>29.893878854994298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1102.7299278643202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98.25258076148755</c:v>
                </c:pt>
                <c:pt idx="78" formatCode="0.00">
                  <c:v>7.6530919273869742</c:v>
                </c:pt>
                <c:pt idx="79" formatCode="0.00">
                  <c:v>204.0375583440896</c:v>
                </c:pt>
                <c:pt idx="83">
                  <c:v>523455.13409999997</c:v>
                </c:pt>
                <c:pt idx="84">
                  <c:v>107750.10269999999</c:v>
                </c:pt>
                <c:pt idx="85">
                  <c:v>26403.248299999999</c:v>
                </c:pt>
                <c:pt idx="87">
                  <c:v>6621.4691000000003</c:v>
                </c:pt>
                <c:pt idx="89">
                  <c:v>19781.779200000001</c:v>
                </c:pt>
                <c:pt idx="90">
                  <c:v>29430.905099999996</c:v>
                </c:pt>
                <c:pt idx="91">
                  <c:v>7073.3733999999995</c:v>
                </c:pt>
                <c:pt idx="92">
                  <c:v>22352.431200000003</c:v>
                </c:pt>
                <c:pt idx="93" formatCode="0.0">
                  <c:v>5.1004999999999994</c:v>
                </c:pt>
                <c:pt idx="95">
                  <c:v>5628.9118000000008</c:v>
                </c:pt>
                <c:pt idx="96">
                  <c:v>34309.023300000001</c:v>
                </c:pt>
                <c:pt idx="97">
                  <c:v>5788.0473999999995</c:v>
                </c:pt>
                <c:pt idx="100">
                  <c:v>3021.5362</c:v>
                </c:pt>
                <c:pt idx="102">
                  <c:v>25499.439700000003</c:v>
                </c:pt>
                <c:pt idx="103">
                  <c:v>381396.00810000004</c:v>
                </c:pt>
                <c:pt idx="104">
                  <c:v>43857.159299999999</c:v>
                </c:pt>
                <c:pt idx="105">
                  <c:v>316043.30159999995</c:v>
                </c:pt>
                <c:pt idx="107">
                  <c:v>21495.547200000001</c:v>
                </c:pt>
                <c:pt idx="109">
                  <c:v>523455.13409999997</c:v>
                </c:pt>
                <c:pt idx="110">
                  <c:v>33814.274800000007</c:v>
                </c:pt>
                <c:pt idx="111">
                  <c:v>2636.9584999999997</c:v>
                </c:pt>
                <c:pt idx="113">
                  <c:v>37507.036800000002</c:v>
                </c:pt>
                <c:pt idx="114">
                  <c:v>1281.2456</c:v>
                </c:pt>
                <c:pt idx="115">
                  <c:v>412987.48499999999</c:v>
                </c:pt>
                <c:pt idx="116">
                  <c:v>15333.123100000001</c:v>
                </c:pt>
                <c:pt idx="118">
                  <c:v>14636.3948</c:v>
                </c:pt>
                <c:pt idx="120">
                  <c:v>13708.103799999999</c:v>
                </c:pt>
                <c:pt idx="122">
                  <c:v>928.29100000000005</c:v>
                </c:pt>
                <c:pt idx="123">
                  <c:v>4117.1235999999999</c:v>
                </c:pt>
                <c:pt idx="126">
                  <c:v>0</c:v>
                </c:pt>
                <c:pt idx="128" formatCode="0.00">
                  <c:v>3582.279596527459</c:v>
                </c:pt>
                <c:pt idx="130" formatCode="0.00">
                  <c:v>210.90151502726403</c:v>
                </c:pt>
                <c:pt idx="131" formatCode="0.00">
                  <c:v>1682.0450220591363</c:v>
                </c:pt>
                <c:pt idx="132" formatCode="0.00">
                  <c:v>1396.4413998873599</c:v>
                </c:pt>
                <c:pt idx="133" formatCode="0.00">
                  <c:v>1280.4135482790721</c:v>
                </c:pt>
                <c:pt idx="134" formatCode="0.00">
                  <c:v>116.0433087395328</c:v>
                </c:pt>
                <c:pt idx="135" formatCode="0.00">
                  <c:v>215.72966037965764</c:v>
                </c:pt>
                <c:pt idx="136" formatCode="0">
                  <c:v>0</c:v>
                </c:pt>
                <c:pt idx="137" formatCode="0.00">
                  <c:v>77.1487502044032</c:v>
                </c:pt>
                <c:pt idx="138" formatCode="0.00">
                  <c:v>6246.8891845055987</c:v>
                </c:pt>
                <c:pt idx="139" formatCode="0.00">
                  <c:v>10818.574231608689</c:v>
                </c:pt>
                <c:pt idx="141" formatCode="0.00">
                  <c:v>279.22203512928002</c:v>
                </c:pt>
                <c:pt idx="142" formatCode="0.00">
                  <c:v>9867.0597301180806</c:v>
                </c:pt>
                <c:pt idx="143" formatCode="0.00">
                  <c:v>561.42288026559368</c:v>
                </c:pt>
                <c:pt idx="145" formatCode="0.00">
                  <c:v>-7236.2946350812299</c:v>
                </c:pt>
                <c:pt idx="147" formatCode="0">
                  <c:v>24376.100612608501</c:v>
                </c:pt>
                <c:pt idx="148" formatCode="0">
                  <c:v>17749.966690423418</c:v>
                </c:pt>
                <c:pt idx="150" formatCode="0">
                  <c:v>5260.3053007505005</c:v>
                </c:pt>
                <c:pt idx="151" formatCode="0">
                  <c:v>0</c:v>
                </c:pt>
                <c:pt idx="152" formatCode="0">
                  <c:v>2762.0544116628007</c:v>
                </c:pt>
                <c:pt idx="153" formatCode="0">
                  <c:v>0</c:v>
                </c:pt>
                <c:pt idx="154" formatCode="0">
                  <c:v>2504.5569493882999</c:v>
                </c:pt>
                <c:pt idx="155" formatCode="0">
                  <c:v>0</c:v>
                </c:pt>
                <c:pt idx="156" formatCode="0">
                  <c:v>1182.3863063624999</c:v>
                </c:pt>
                <c:pt idx="157" formatCode="0">
                  <c:v>703.12572351689994</c:v>
                </c:pt>
                <c:pt idx="158" formatCode="0">
                  <c:v>0</c:v>
                </c:pt>
                <c:pt idx="159" formatCode="0">
                  <c:v>781.95147727439996</c:v>
                </c:pt>
                <c:pt idx="160" formatCode="0">
                  <c:v>89.335854258499978</c:v>
                </c:pt>
                <c:pt idx="161" formatCode="0">
                  <c:v>102.9989849098</c:v>
                </c:pt>
                <c:pt idx="162" formatCode="0">
                  <c:v>922.78682398779983</c:v>
                </c:pt>
                <c:pt idx="163" formatCode="0">
                  <c:v>1651.1367887070996</c:v>
                </c:pt>
                <c:pt idx="164" formatCode="0">
                  <c:v>1745.7276932160999</c:v>
                </c:pt>
                <c:pt idx="165" formatCode="0">
                  <c:v>709.4317838175001</c:v>
                </c:pt>
                <c:pt idx="166" formatCode="0">
                  <c:v>7790.0864913411997</c:v>
                </c:pt>
                <c:pt idx="167">
                  <c:v>1599.787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2138.8054519534999</c:v>
                </c:pt>
                <c:pt idx="173" formatCode="0">
                  <c:v>6103.2153609306997</c:v>
                </c:pt>
                <c:pt idx="176" formatCode="0.00">
                  <c:v>81.234959108704203</c:v>
                </c:pt>
                <c:pt idx="178">
                  <c:v>116.15818562734697</c:v>
                </c:pt>
                <c:pt idx="179" formatCode="0.00">
                  <c:v>189.32869625874665</c:v>
                </c:pt>
                <c:pt idx="180" formatCode="0.00">
                  <c:v>38.048665528327824</c:v>
                </c:pt>
                <c:pt idx="181" formatCode="0.00">
                  <c:v>38.048665528327824</c:v>
                </c:pt>
                <c:pt idx="182" formatCode="0.00">
                  <c:v>38.048665528327824</c:v>
                </c:pt>
                <c:pt idx="183" formatCode="0.00">
                  <c:v>0.18292627657849916</c:v>
                </c:pt>
                <c:pt idx="185" formatCode="0.00">
                  <c:v>2.1182988430829397</c:v>
                </c:pt>
                <c:pt idx="186" formatCode="0.00">
                  <c:v>10161.914399253998</c:v>
                </c:pt>
                <c:pt idx="190" formatCode="0.00">
                  <c:v>10161.914399253998</c:v>
                </c:pt>
                <c:pt idx="192">
                  <c:v>19.8</c:v>
                </c:pt>
                <c:pt idx="193" formatCode="0.00">
                  <c:v>60906.184535664011</c:v>
                </c:pt>
                <c:pt idx="194" formatCode="0.00">
                  <c:v>64.675900605197</c:v>
                </c:pt>
                <c:pt idx="195">
                  <c:v>12649.998698761601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8"/>
          <c:order val="8"/>
          <c:val>
            <c:numRef>
              <c:f>Лист1!$I$41:$I$249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20586.2406864728</c:v>
                </c:pt>
                <c:pt idx="5">
                  <c:v>101.99999999999999</c:v>
                </c:pt>
                <c:pt idx="6">
                  <c:v>10787.70771746766</c:v>
                </c:pt>
                <c:pt idx="7">
                  <c:v>102</c:v>
                </c:pt>
                <c:pt idx="8" formatCode="0.00">
                  <c:v>42.360472158402665</c:v>
                </c:pt>
                <c:pt idx="9" formatCode="0.00">
                  <c:v>100.10000000000001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743.93804834288449</c:v>
                </c:pt>
                <c:pt idx="13" formatCode="0.00">
                  <c:v>103.00000000000003</c:v>
                </c:pt>
                <c:pt idx="14">
                  <c:v>106.7</c:v>
                </c:pt>
                <c:pt idx="17" formatCode="0.00">
                  <c:v>2361.9199021176892</c:v>
                </c:pt>
                <c:pt idx="18" formatCode="0.00">
                  <c:v>105.2</c:v>
                </c:pt>
                <c:pt idx="19">
                  <c:v>104.9</c:v>
                </c:pt>
                <c:pt idx="20">
                  <c:v>1753.0427750421168</c:v>
                </c:pt>
                <c:pt idx="21">
                  <c:v>101.50000000000001</c:v>
                </c:pt>
                <c:pt idx="22">
                  <c:v>104.9</c:v>
                </c:pt>
                <c:pt idx="23" formatCode="0.00">
                  <c:v>290.13049934572541</c:v>
                </c:pt>
                <c:pt idx="24" formatCode="0.00">
                  <c:v>102.99999999999999</c:v>
                </c:pt>
                <c:pt idx="25">
                  <c:v>107.6</c:v>
                </c:pt>
                <c:pt idx="26" formatCode="0.00">
                  <c:v>288.46479048075088</c:v>
                </c:pt>
                <c:pt idx="28" formatCode="0.00">
                  <c:v>15.742385477438336</c:v>
                </c:pt>
                <c:pt idx="29" formatCode="0.00">
                  <c:v>103</c:v>
                </c:pt>
                <c:pt idx="30" formatCode="0.00">
                  <c:v>11.024023485783765</c:v>
                </c:pt>
                <c:pt idx="31" formatCode="0.00">
                  <c:v>104.80000000000003</c:v>
                </c:pt>
                <c:pt idx="32">
                  <c:v>0</c:v>
                </c:pt>
                <c:pt idx="33">
                  <c:v>0</c:v>
                </c:pt>
                <c:pt idx="34" formatCode="0.00">
                  <c:v>257.38934041932947</c:v>
                </c:pt>
                <c:pt idx="35" formatCode="0.00">
                  <c:v>101.8</c:v>
                </c:pt>
                <c:pt idx="36">
                  <c:v>0</c:v>
                </c:pt>
                <c:pt idx="38" formatCode="0.00">
                  <c:v>2.5245915603596054</c:v>
                </c:pt>
                <c:pt idx="39" formatCode="0.00">
                  <c:v>110.2</c:v>
                </c:pt>
                <c:pt idx="40" formatCode="0.000">
                  <c:v>6.6341194329633535E-2</c:v>
                </c:pt>
                <c:pt idx="41" formatCode="0.00">
                  <c:v>110.79999999999998</c:v>
                </c:pt>
                <c:pt idx="42" formatCode="0.00">
                  <c:v>1.689451088393376</c:v>
                </c:pt>
                <c:pt idx="43" formatCode="0.00">
                  <c:v>113.00000000000001</c:v>
                </c:pt>
                <c:pt idx="44" formatCode="0.000">
                  <c:v>2.8657255116696E-2</c:v>
                </c:pt>
                <c:pt idx="48" formatCode="0">
                  <c:v>489.2136593546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79.98991112669998</c:v>
                </c:pt>
                <c:pt idx="54" formatCode="0">
                  <c:v>180.84675559079997</c:v>
                </c:pt>
                <c:pt idx="55" formatCode="0">
                  <c:v>15.070562965900001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2290.7255708168</c:v>
                </c:pt>
                <c:pt idx="60" formatCode="0">
                  <c:v>0</c:v>
                </c:pt>
                <c:pt idx="61" formatCode="0.00">
                  <c:v>10183.52690612705</c:v>
                </c:pt>
                <c:pt idx="63" formatCode="0.0">
                  <c:v>314.80866194283504</c:v>
                </c:pt>
                <c:pt idx="64">
                  <c:v>0</c:v>
                </c:pt>
                <c:pt idx="65">
                  <c:v>48421.241669664625</c:v>
                </c:pt>
                <c:pt idx="66" formatCode="0.00">
                  <c:v>363.02078414283119</c:v>
                </c:pt>
                <c:pt idx="67" formatCode="0.00">
                  <c:v>4775.7929573158572</c:v>
                </c:pt>
                <c:pt idx="68" formatCode="0.00">
                  <c:v>30.192817643544242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1124.7845264216066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100.02112721519433</c:v>
                </c:pt>
                <c:pt idx="78" formatCode="0.00">
                  <c:v>7.7908475820799392</c:v>
                </c:pt>
                <c:pt idx="79" formatCode="0.00">
                  <c:v>212.1990606778532</c:v>
                </c:pt>
                <c:pt idx="83">
                  <c:v>528689.68544099992</c:v>
                </c:pt>
                <c:pt idx="84">
                  <c:v>108827.60372699998</c:v>
                </c:pt>
                <c:pt idx="85">
                  <c:v>26667.280782999998</c:v>
                </c:pt>
                <c:pt idx="87">
                  <c:v>6687.6837910000004</c:v>
                </c:pt>
                <c:pt idx="89">
                  <c:v>19979.596992000003</c:v>
                </c:pt>
                <c:pt idx="90">
                  <c:v>29725.214150999993</c:v>
                </c:pt>
                <c:pt idx="91">
                  <c:v>7144.107133999999</c:v>
                </c:pt>
                <c:pt idx="92">
                  <c:v>22575.955512</c:v>
                </c:pt>
                <c:pt idx="93" formatCode="0.0">
                  <c:v>5.1515049999999993</c:v>
                </c:pt>
                <c:pt idx="95">
                  <c:v>5685.2009180000005</c:v>
                </c:pt>
                <c:pt idx="96">
                  <c:v>34652.113533000003</c:v>
                </c:pt>
                <c:pt idx="97">
                  <c:v>5845.9278739999991</c:v>
                </c:pt>
                <c:pt idx="100">
                  <c:v>3051.7515620000004</c:v>
                </c:pt>
                <c:pt idx="102">
                  <c:v>25754.434097000001</c:v>
                </c:pt>
                <c:pt idx="103">
                  <c:v>385209.96818100003</c:v>
                </c:pt>
                <c:pt idx="104">
                  <c:v>44295.730893</c:v>
                </c:pt>
                <c:pt idx="105">
                  <c:v>319203.73461599997</c:v>
                </c:pt>
                <c:pt idx="107">
                  <c:v>21710.502672000002</c:v>
                </c:pt>
                <c:pt idx="109">
                  <c:v>528689.68544099992</c:v>
                </c:pt>
                <c:pt idx="110">
                  <c:v>34152.417548000005</c:v>
                </c:pt>
                <c:pt idx="111">
                  <c:v>2663.3280849999996</c:v>
                </c:pt>
                <c:pt idx="113">
                  <c:v>37882.107168000002</c:v>
                </c:pt>
                <c:pt idx="114">
                  <c:v>1294.0580559999999</c:v>
                </c:pt>
                <c:pt idx="115">
                  <c:v>417117.35985000001</c:v>
                </c:pt>
                <c:pt idx="116">
                  <c:v>15486.454331000001</c:v>
                </c:pt>
                <c:pt idx="118">
                  <c:v>14782.758748</c:v>
                </c:pt>
                <c:pt idx="120">
                  <c:v>13845.184837999997</c:v>
                </c:pt>
                <c:pt idx="122">
                  <c:v>937.57391000000007</c:v>
                </c:pt>
                <c:pt idx="123">
                  <c:v>4158.294836</c:v>
                </c:pt>
                <c:pt idx="126">
                  <c:v>0</c:v>
                </c:pt>
                <c:pt idx="128" formatCode="0.00">
                  <c:v>3653.9251884580085</c:v>
                </c:pt>
                <c:pt idx="130" formatCode="0.00">
                  <c:v>215.11954532780931</c:v>
                </c:pt>
                <c:pt idx="131" formatCode="0.00">
                  <c:v>1715.6859225003191</c:v>
                </c:pt>
                <c:pt idx="132" formatCode="0.00">
                  <c:v>1424.3702278851072</c:v>
                </c:pt>
                <c:pt idx="133" formatCode="0.00">
                  <c:v>1306.0218192446534</c:v>
                </c:pt>
                <c:pt idx="134" formatCode="0.00">
                  <c:v>118.36417491432347</c:v>
                </c:pt>
                <c:pt idx="135" formatCode="0.00">
                  <c:v>220.04425358725078</c:v>
                </c:pt>
                <c:pt idx="136" formatCode="0">
                  <c:v>0</c:v>
                </c:pt>
                <c:pt idx="137" formatCode="0.00">
                  <c:v>78.691725208491263</c:v>
                </c:pt>
                <c:pt idx="138" formatCode="0.00">
                  <c:v>6371.8269681957108</c:v>
                </c:pt>
                <c:pt idx="139" formatCode="0.00">
                  <c:v>11034.945716240862</c:v>
                </c:pt>
                <c:pt idx="141" formatCode="0.00">
                  <c:v>284.80647583186561</c:v>
                </c:pt>
                <c:pt idx="142" formatCode="0.00">
                  <c:v>10064.400924720441</c:v>
                </c:pt>
                <c:pt idx="143" formatCode="0.00">
                  <c:v>572.65133787090554</c:v>
                </c:pt>
                <c:pt idx="145" formatCode="0.00">
                  <c:v>-7381.0205277828536</c:v>
                </c:pt>
                <c:pt idx="147" formatCode="0">
                  <c:v>24912.374826085888</c:v>
                </c:pt>
                <c:pt idx="148" formatCode="0">
                  <c:v>18140.465957612734</c:v>
                </c:pt>
                <c:pt idx="150" formatCode="0">
                  <c:v>5312.9083537580045</c:v>
                </c:pt>
                <c:pt idx="151" formatCode="0">
                  <c:v>0</c:v>
                </c:pt>
                <c:pt idx="152" formatCode="0">
                  <c:v>2789.6749557794287</c:v>
                </c:pt>
                <c:pt idx="153" formatCode="0">
                  <c:v>0</c:v>
                </c:pt>
                <c:pt idx="154" formatCode="0">
                  <c:v>2529.6025188821832</c:v>
                </c:pt>
                <c:pt idx="155" formatCode="0">
                  <c:v>0</c:v>
                </c:pt>
                <c:pt idx="156" formatCode="0">
                  <c:v>1194.2101694261248</c:v>
                </c:pt>
                <c:pt idx="157" formatCode="0">
                  <c:v>710.15698075206888</c:v>
                </c:pt>
                <c:pt idx="158" formatCode="0">
                  <c:v>0</c:v>
                </c:pt>
                <c:pt idx="159" formatCode="0">
                  <c:v>789.77099204714398</c:v>
                </c:pt>
                <c:pt idx="160" formatCode="0">
                  <c:v>90.229212801084984</c:v>
                </c:pt>
                <c:pt idx="161" formatCode="0">
                  <c:v>104.028974758898</c:v>
                </c:pt>
                <c:pt idx="162" formatCode="0">
                  <c:v>932.01469222767787</c:v>
                </c:pt>
                <c:pt idx="163" formatCode="0">
                  <c:v>1667.6481565941708</c:v>
                </c:pt>
                <c:pt idx="164" formatCode="0">
                  <c:v>1763.1849701482608</c:v>
                </c:pt>
                <c:pt idx="165" formatCode="0">
                  <c:v>716.52610165567512</c:v>
                </c:pt>
                <c:pt idx="166" formatCode="0">
                  <c:v>7867.9873562546118</c:v>
                </c:pt>
                <c:pt idx="167">
                  <c:v>1600.787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2160.1935064730346</c:v>
                </c:pt>
                <c:pt idx="173" formatCode="0">
                  <c:v>6164.2475145400067</c:v>
                </c:pt>
                <c:pt idx="176" formatCode="0.00">
                  <c:v>81.316194067812901</c:v>
                </c:pt>
                <c:pt idx="178" formatCode="0.00">
                  <c:v>113.99233133203823</c:v>
                </c:pt>
                <c:pt idx="179" formatCode="0.00">
                  <c:v>185.79852429710169</c:v>
                </c:pt>
                <c:pt idx="180" formatCode="0.00">
                  <c:v>37.339220341832998</c:v>
                </c:pt>
                <c:pt idx="181" formatCode="0.00">
                  <c:v>37.339220341832998</c:v>
                </c:pt>
                <c:pt idx="182" formatCode="0.00">
                  <c:v>37.339220341832998</c:v>
                </c:pt>
                <c:pt idx="183" formatCode="0.00">
                  <c:v>0.17951548241265863</c:v>
                </c:pt>
                <c:pt idx="185" formatCode="0.00">
                  <c:v>2.1182988430829397</c:v>
                </c:pt>
                <c:pt idx="186" formatCode="0.00">
                  <c:v>10263.533543246538</c:v>
                </c:pt>
                <c:pt idx="190" formatCode="0.00">
                  <c:v>10263.533543246538</c:v>
                </c:pt>
                <c:pt idx="192">
                  <c:v>19.899999999999999</c:v>
                </c:pt>
                <c:pt idx="193" formatCode="0.00">
                  <c:v>62124.308226377296</c:v>
                </c:pt>
                <c:pt idx="194" formatCode="0.00">
                  <c:v>66.616177623352911</c:v>
                </c:pt>
                <c:pt idx="195">
                  <c:v>13029.49865972445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9"/>
          <c:order val="9"/>
          <c:val>
            <c:numRef>
              <c:f>Лист1!$J$41:$J$249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20997.965500202259</c:v>
                </c:pt>
                <c:pt idx="5">
                  <c:v>102.00000000000003</c:v>
                </c:pt>
                <c:pt idx="6">
                  <c:v>11003.461871817011</c:v>
                </c:pt>
                <c:pt idx="7">
                  <c:v>101.99999999999999</c:v>
                </c:pt>
                <c:pt idx="8" formatCode="0.00">
                  <c:v>42.699355935669885</c:v>
                </c:pt>
                <c:pt idx="9" formatCode="0.00">
                  <c:v>100.8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757.32893321305642</c:v>
                </c:pt>
                <c:pt idx="13" formatCode="0.00">
                  <c:v>101.8</c:v>
                </c:pt>
                <c:pt idx="14">
                  <c:v>106.7</c:v>
                </c:pt>
                <c:pt idx="17" formatCode="0.00">
                  <c:v>2520.1685355595746</c:v>
                </c:pt>
                <c:pt idx="18" formatCode="0.00">
                  <c:v>106.70000000000002</c:v>
                </c:pt>
                <c:pt idx="19">
                  <c:v>104.9</c:v>
                </c:pt>
                <c:pt idx="20">
                  <c:v>1781.0914594427907</c:v>
                </c:pt>
                <c:pt idx="21">
                  <c:v>101.6</c:v>
                </c:pt>
                <c:pt idx="22">
                  <c:v>104.9</c:v>
                </c:pt>
                <c:pt idx="23" formatCode="0.00">
                  <c:v>296.22323983198561</c:v>
                </c:pt>
                <c:pt idx="24" formatCode="0.00">
                  <c:v>102.1</c:v>
                </c:pt>
                <c:pt idx="25">
                  <c:v>107.6</c:v>
                </c:pt>
                <c:pt idx="26" formatCode="0.00">
                  <c:v>310.22138516406187</c:v>
                </c:pt>
                <c:pt idx="28" formatCode="0.00">
                  <c:v>16.214657041761487</c:v>
                </c:pt>
                <c:pt idx="29" formatCode="0.00">
                  <c:v>103</c:v>
                </c:pt>
                <c:pt idx="30" formatCode="0.00">
                  <c:v>11.354744190357279</c:v>
                </c:pt>
                <c:pt idx="31" formatCode="0.00">
                  <c:v>103</c:v>
                </c:pt>
                <c:pt idx="32">
                  <c:v>0</c:v>
                </c:pt>
                <c:pt idx="33">
                  <c:v>0</c:v>
                </c:pt>
                <c:pt idx="34" formatCode="0.00">
                  <c:v>277.98048765287581</c:v>
                </c:pt>
                <c:pt idx="35" formatCode="0.00">
                  <c:v>107.99999999999999</c:v>
                </c:pt>
                <c:pt idx="36">
                  <c:v>0</c:v>
                </c:pt>
                <c:pt idx="38" formatCode="0.00">
                  <c:v>2.827542547602758</c:v>
                </c:pt>
                <c:pt idx="39" formatCode="0.00">
                  <c:v>111.99999999999999</c:v>
                </c:pt>
                <c:pt idx="40" formatCode="0.000">
                  <c:v>7.4302137649189554E-2</c:v>
                </c:pt>
                <c:pt idx="41" formatCode="0.00">
                  <c:v>111.99999999999999</c:v>
                </c:pt>
                <c:pt idx="42" formatCode="0.00">
                  <c:v>1.7401346210451771</c:v>
                </c:pt>
                <c:pt idx="43" formatCode="0.00">
                  <c:v>103</c:v>
                </c:pt>
                <c:pt idx="44" formatCode="0.000">
                  <c:v>2.9516972770196877E-2</c:v>
                </c:pt>
                <c:pt idx="48" formatCode="0">
                  <c:v>503.89006913523804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82.38960846050098</c:v>
                </c:pt>
                <c:pt idx="54" formatCode="0">
                  <c:v>186.27215825852397</c:v>
                </c:pt>
                <c:pt idx="55" formatCode="0">
                  <c:v>15.522679854877001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2359.4473379413039</c:v>
                </c:pt>
                <c:pt idx="60" formatCode="0">
                  <c:v>0</c:v>
                </c:pt>
                <c:pt idx="61" formatCode="0.00">
                  <c:v>10285.36217518832</c:v>
                </c:pt>
                <c:pt idx="63" formatCode="0.0">
                  <c:v>317.95674856226339</c:v>
                </c:pt>
                <c:pt idx="64">
                  <c:v>0</c:v>
                </c:pt>
                <c:pt idx="65">
                  <c:v>48905.454086361264</c:v>
                </c:pt>
                <c:pt idx="66" formatCode="0.00">
                  <c:v>366.65099198425952</c:v>
                </c:pt>
                <c:pt idx="67" formatCode="0.00">
                  <c:v>4823.5508868890156</c:v>
                </c:pt>
                <c:pt idx="68" formatCode="0.00">
                  <c:v>30.494745819979684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1147.2802169500387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101.82150750506781</c:v>
                </c:pt>
                <c:pt idx="78" formatCode="0.00">
                  <c:v>7.9310828385573782</c:v>
                </c:pt>
                <c:pt idx="79" formatCode="0.00">
                  <c:v>220.68702310496735</c:v>
                </c:pt>
                <c:pt idx="83">
                  <c:v>533976.58229540987</c:v>
                </c:pt>
                <c:pt idx="84">
                  <c:v>109915.87976426998</c:v>
                </c:pt>
                <c:pt idx="85">
                  <c:v>26933.953590829995</c:v>
                </c:pt>
                <c:pt idx="87">
                  <c:v>6754.5606289100006</c:v>
                </c:pt>
                <c:pt idx="89">
                  <c:v>20179.392961920003</c:v>
                </c:pt>
                <c:pt idx="90">
                  <c:v>30022.466292509991</c:v>
                </c:pt>
                <c:pt idx="91">
                  <c:v>7215.5482053399992</c:v>
                </c:pt>
                <c:pt idx="92">
                  <c:v>22801.71506712</c:v>
                </c:pt>
                <c:pt idx="93" formatCode="0.0">
                  <c:v>5.2030200499999992</c:v>
                </c:pt>
                <c:pt idx="95">
                  <c:v>5742.0529271800006</c:v>
                </c:pt>
                <c:pt idx="96">
                  <c:v>34998.634668330007</c:v>
                </c:pt>
                <c:pt idx="97">
                  <c:v>5904.3871527399997</c:v>
                </c:pt>
                <c:pt idx="100">
                  <c:v>3082.2690776200006</c:v>
                </c:pt>
                <c:pt idx="102">
                  <c:v>26011.97843797</c:v>
                </c:pt>
                <c:pt idx="103">
                  <c:v>389062.06786281004</c:v>
                </c:pt>
                <c:pt idx="104">
                  <c:v>44738.688201930003</c:v>
                </c:pt>
                <c:pt idx="105">
                  <c:v>322395.77196216001</c:v>
                </c:pt>
                <c:pt idx="107">
                  <c:v>21927.607698720003</c:v>
                </c:pt>
                <c:pt idx="109">
                  <c:v>533976.58229540987</c:v>
                </c:pt>
                <c:pt idx="110">
                  <c:v>34493.941723480006</c:v>
                </c:pt>
                <c:pt idx="111">
                  <c:v>2689.9613658499998</c:v>
                </c:pt>
                <c:pt idx="113">
                  <c:v>38260.928239680004</c:v>
                </c:pt>
                <c:pt idx="114">
                  <c:v>1306.9986365599998</c:v>
                </c:pt>
                <c:pt idx="115">
                  <c:v>421288.53344850003</c:v>
                </c:pt>
                <c:pt idx="116">
                  <c:v>15641.318874310002</c:v>
                </c:pt>
                <c:pt idx="118">
                  <c:v>14930.586335480002</c:v>
                </c:pt>
                <c:pt idx="120">
                  <c:v>13983.636686379998</c:v>
                </c:pt>
                <c:pt idx="122">
                  <c:v>946.9496491000001</c:v>
                </c:pt>
                <c:pt idx="123">
                  <c:v>4199.8777843600001</c:v>
                </c:pt>
                <c:pt idx="126">
                  <c:v>0</c:v>
                </c:pt>
                <c:pt idx="128" formatCode="0.00">
                  <c:v>3727.0036922271688</c:v>
                </c:pt>
                <c:pt idx="130" formatCode="0.00">
                  <c:v>219.42193623436549</c:v>
                </c:pt>
                <c:pt idx="131" formatCode="0.00">
                  <c:v>1749.9996409503253</c:v>
                </c:pt>
                <c:pt idx="132" formatCode="0.00">
                  <c:v>1452.8576324428095</c:v>
                </c:pt>
                <c:pt idx="133" formatCode="0.00">
                  <c:v>1332.1422556295465</c:v>
                </c:pt>
                <c:pt idx="134" formatCode="0.00">
                  <c:v>120.73145841260994</c:v>
                </c:pt>
                <c:pt idx="135" formatCode="0.00">
                  <c:v>224.44513865899577</c:v>
                </c:pt>
                <c:pt idx="136" formatCode="0">
                  <c:v>0</c:v>
                </c:pt>
                <c:pt idx="137" formatCode="0.00">
                  <c:v>80.265559712661087</c:v>
                </c:pt>
                <c:pt idx="138" formatCode="0.00">
                  <c:v>6499.2635075596254</c:v>
                </c:pt>
                <c:pt idx="139" formatCode="0.00">
                  <c:v>11255.644630565679</c:v>
                </c:pt>
                <c:pt idx="141" formatCode="0.00">
                  <c:v>290.50260534850293</c:v>
                </c:pt>
                <c:pt idx="142" formatCode="0.00">
                  <c:v>10265.688943214849</c:v>
                </c:pt>
                <c:pt idx="143" formatCode="0.00">
                  <c:v>584.10436462832365</c:v>
                </c:pt>
                <c:pt idx="145" formatCode="0.00">
                  <c:v>-7528.6409383385108</c:v>
                </c:pt>
                <c:pt idx="147" formatCode="0">
                  <c:v>25460.44707225978</c:v>
                </c:pt>
                <c:pt idx="148" formatCode="0">
                  <c:v>18539.556208680213</c:v>
                </c:pt>
                <c:pt idx="150" formatCode="0">
                  <c:v>5366.0374372955839</c:v>
                </c:pt>
                <c:pt idx="151" formatCode="0">
                  <c:v>0</c:v>
                </c:pt>
                <c:pt idx="152" formatCode="0">
                  <c:v>2817.5717053372232</c:v>
                </c:pt>
                <c:pt idx="153" formatCode="0">
                  <c:v>0</c:v>
                </c:pt>
                <c:pt idx="154" formatCode="0">
                  <c:v>2554.8985440710048</c:v>
                </c:pt>
                <c:pt idx="155" formatCode="0">
                  <c:v>0</c:v>
                </c:pt>
                <c:pt idx="156" formatCode="0">
                  <c:v>1206.1522711203861</c:v>
                </c:pt>
                <c:pt idx="157" formatCode="0">
                  <c:v>717.25855055958948</c:v>
                </c:pt>
                <c:pt idx="158" formatCode="0">
                  <c:v>0</c:v>
                </c:pt>
                <c:pt idx="159" formatCode="0">
                  <c:v>797.66870196761545</c:v>
                </c:pt>
                <c:pt idx="160" formatCode="0">
                  <c:v>91.131504929095826</c:v>
                </c:pt>
                <c:pt idx="161" formatCode="0">
                  <c:v>105.06926450648697</c:v>
                </c:pt>
                <c:pt idx="162" formatCode="0">
                  <c:v>941.33483914995463</c:v>
                </c:pt>
                <c:pt idx="163" formatCode="0">
                  <c:v>1684.3246381601127</c:v>
                </c:pt>
                <c:pt idx="164" formatCode="0">
                  <c:v>1780.8168198497433</c:v>
                </c:pt>
                <c:pt idx="165" formatCode="0">
                  <c:v>723.69136267223189</c:v>
                </c:pt>
                <c:pt idx="166" formatCode="0">
                  <c:v>7946.6672298171579</c:v>
                </c:pt>
                <c:pt idx="167">
                  <c:v>1601.787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2181.7954415377649</c:v>
                </c:pt>
                <c:pt idx="173" formatCode="0">
                  <c:v>6225.8899896854073</c:v>
                </c:pt>
                <c:pt idx="176" formatCode="0.00">
                  <c:v>81.397510261880711</c:v>
                </c:pt>
                <c:pt idx="178" formatCode="0.00">
                  <c:v>111.75718758042964</c:v>
                </c:pt>
                <c:pt idx="179" formatCode="0.00">
                  <c:v>182.15541597755069</c:v>
                </c:pt>
                <c:pt idx="180" formatCode="0.00">
                  <c:v>36.607078766502944</c:v>
                </c:pt>
                <c:pt idx="181" formatCode="0.00">
                  <c:v>36.607078766502944</c:v>
                </c:pt>
                <c:pt idx="182" formatCode="0.00">
                  <c:v>36.607078766502944</c:v>
                </c:pt>
                <c:pt idx="183" formatCode="0.00">
                  <c:v>0.17599557099280261</c:v>
                </c:pt>
                <c:pt idx="185" formatCode="0.00">
                  <c:v>2.1182988430829397</c:v>
                </c:pt>
                <c:pt idx="186" formatCode="0.00">
                  <c:v>10366.168878679004</c:v>
                </c:pt>
                <c:pt idx="190" formatCode="0.00">
                  <c:v>10366.168878679004</c:v>
                </c:pt>
                <c:pt idx="192">
                  <c:v>19.899999999999999</c:v>
                </c:pt>
                <c:pt idx="193" formatCode="0.00">
                  <c:v>63366.794390904841</c:v>
                </c:pt>
                <c:pt idx="194" formatCode="0.00">
                  <c:v>68.614662952053493</c:v>
                </c:pt>
                <c:pt idx="195">
                  <c:v>13420.383619516182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0"/>
          <c:order val="10"/>
          <c:val>
            <c:numRef>
              <c:f>Лист1!$K$41:$K$249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21480.918706706911</c:v>
                </c:pt>
                <c:pt idx="5">
                  <c:v>102.3</c:v>
                </c:pt>
                <c:pt idx="6">
                  <c:v>11234.534571125167</c:v>
                </c:pt>
                <c:pt idx="7">
                  <c:v>102.1</c:v>
                </c:pt>
                <c:pt idx="8" formatCode="0.00">
                  <c:v>42.827454003476895</c:v>
                </c:pt>
                <c:pt idx="9" formatCode="0.00">
                  <c:v>100.29999999999998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780.04880120944813</c:v>
                </c:pt>
                <c:pt idx="13" formatCode="0.00">
                  <c:v>103</c:v>
                </c:pt>
                <c:pt idx="14">
                  <c:v>106.7</c:v>
                </c:pt>
                <c:pt idx="17" formatCode="0.00">
                  <c:v>2590.7332545552426</c:v>
                </c:pt>
                <c:pt idx="18" formatCode="0.00">
                  <c:v>102.8</c:v>
                </c:pt>
                <c:pt idx="19">
                  <c:v>104.9</c:v>
                </c:pt>
                <c:pt idx="20">
                  <c:v>1834.5242032260744</c:v>
                </c:pt>
                <c:pt idx="21">
                  <c:v>103</c:v>
                </c:pt>
                <c:pt idx="22">
                  <c:v>104.9</c:v>
                </c:pt>
                <c:pt idx="23" formatCode="0.00">
                  <c:v>308.36839266509702</c:v>
                </c:pt>
                <c:pt idx="24" formatCode="0.00">
                  <c:v>104.1</c:v>
                </c:pt>
                <c:pt idx="25">
                  <c:v>107.6</c:v>
                </c:pt>
                <c:pt idx="26" formatCode="0.00">
                  <c:v>339.20767997015918</c:v>
                </c:pt>
                <c:pt idx="28" formatCode="0.00">
                  <c:v>16.701096753014333</c:v>
                </c:pt>
                <c:pt idx="29" formatCode="0.00">
                  <c:v>103</c:v>
                </c:pt>
                <c:pt idx="30" formatCode="0.00">
                  <c:v>11.797579213781214</c:v>
                </c:pt>
                <c:pt idx="31" formatCode="0.00">
                  <c:v>103.90000000000002</c:v>
                </c:pt>
                <c:pt idx="32">
                  <c:v>0</c:v>
                </c:pt>
                <c:pt idx="33">
                  <c:v>0</c:v>
                </c:pt>
                <c:pt idx="34" formatCode="0.00">
                  <c:v>305.77853641816341</c:v>
                </c:pt>
                <c:pt idx="35" formatCode="0.00">
                  <c:v>110.00000000000001</c:v>
                </c:pt>
                <c:pt idx="36">
                  <c:v>0</c:v>
                </c:pt>
                <c:pt idx="38" formatCode="0.00">
                  <c:v>3.0565734939585814</c:v>
                </c:pt>
                <c:pt idx="39" formatCode="0.00">
                  <c:v>108.1</c:v>
                </c:pt>
                <c:pt idx="40" formatCode="0.000">
                  <c:v>8.247537279060041E-2</c:v>
                </c:pt>
                <c:pt idx="41" formatCode="0.00">
                  <c:v>111.00000000000001</c:v>
                </c:pt>
                <c:pt idx="42" formatCode="0.00">
                  <c:v>1.7610162364977193</c:v>
                </c:pt>
                <c:pt idx="43" formatCode="0.00">
                  <c:v>101.2</c:v>
                </c:pt>
                <c:pt idx="44" formatCode="0.000">
                  <c:v>3.0402481953302782E-2</c:v>
                </c:pt>
                <c:pt idx="48" formatCode="0">
                  <c:v>519.00677120929515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84.861296714316012</c:v>
                </c:pt>
                <c:pt idx="54" formatCode="0">
                  <c:v>191.86032300627969</c:v>
                </c:pt>
                <c:pt idx="55" formatCode="0">
                  <c:v>15.988360250523311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2430.2307580795432</c:v>
                </c:pt>
                <c:pt idx="60" formatCode="0">
                  <c:v>0</c:v>
                </c:pt>
                <c:pt idx="61" formatCode="0.00">
                  <c:v>10388.215796940203</c:v>
                </c:pt>
                <c:pt idx="63" formatCode="0.0">
                  <c:v>321.13631604788606</c:v>
                </c:pt>
                <c:pt idx="64">
                  <c:v>0</c:v>
                </c:pt>
                <c:pt idx="65">
                  <c:v>49394.508627224874</c:v>
                </c:pt>
                <c:pt idx="66" formatCode="0.00">
                  <c:v>370.31750190410207</c:v>
                </c:pt>
                <c:pt idx="67" formatCode="0.00">
                  <c:v>4871.7863957579057</c:v>
                </c:pt>
                <c:pt idx="68" formatCode="0.00">
                  <c:v>30.799693278179479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1170.2258212890395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103.65429464015902</c:v>
                </c:pt>
                <c:pt idx="78" formatCode="0.00">
                  <c:v>8.073842329651411</c:v>
                </c:pt>
                <c:pt idx="79" formatCode="0.00">
                  <c:v>229.51450402916606</c:v>
                </c:pt>
                <c:pt idx="83">
                  <c:v>539316.348118364</c:v>
                </c:pt>
                <c:pt idx="84">
                  <c:v>111015.03856191268</c:v>
                </c:pt>
                <c:pt idx="85">
                  <c:v>27203.293126738296</c:v>
                </c:pt>
                <c:pt idx="87">
                  <c:v>6822.1062351991004</c:v>
                </c:pt>
                <c:pt idx="89">
                  <c:v>20381.186891539201</c:v>
                </c:pt>
                <c:pt idx="90">
                  <c:v>30322.69095543509</c:v>
                </c:pt>
                <c:pt idx="91">
                  <c:v>7287.7036873933985</c:v>
                </c:pt>
                <c:pt idx="92">
                  <c:v>23029.732217791203</c:v>
                </c:pt>
                <c:pt idx="93" formatCode="0.0">
                  <c:v>5.2550502505000001</c:v>
                </c:pt>
                <c:pt idx="95">
                  <c:v>5799.4734564518012</c:v>
                </c:pt>
                <c:pt idx="96">
                  <c:v>35348.621015013305</c:v>
                </c:pt>
                <c:pt idx="97">
                  <c:v>5963.4310242674001</c:v>
                </c:pt>
                <c:pt idx="100">
                  <c:v>3113.0917683962007</c:v>
                </c:pt>
                <c:pt idx="102">
                  <c:v>26272.098222349701</c:v>
                </c:pt>
                <c:pt idx="103">
                  <c:v>392952.68854143814</c:v>
                </c:pt>
                <c:pt idx="104">
                  <c:v>45186.075083949305</c:v>
                </c:pt>
                <c:pt idx="105">
                  <c:v>325619.72968178161</c:v>
                </c:pt>
                <c:pt idx="107">
                  <c:v>22146.883775707203</c:v>
                </c:pt>
                <c:pt idx="109">
                  <c:v>539316.348118364</c:v>
                </c:pt>
                <c:pt idx="110">
                  <c:v>34838.881140714802</c:v>
                </c:pt>
                <c:pt idx="111">
                  <c:v>2716.8609795084999</c:v>
                </c:pt>
                <c:pt idx="113">
                  <c:v>38643.537522076804</c:v>
                </c:pt>
                <c:pt idx="114">
                  <c:v>1320.0686229255998</c:v>
                </c:pt>
                <c:pt idx="115">
                  <c:v>425501.41878298507</c:v>
                </c:pt>
                <c:pt idx="116">
                  <c:v>15797.732063053101</c:v>
                </c:pt>
                <c:pt idx="118">
                  <c:v>15079.892198834801</c:v>
                </c:pt>
                <c:pt idx="120">
                  <c:v>14123.473053243799</c:v>
                </c:pt>
                <c:pt idx="122">
                  <c:v>956.41914559100007</c:v>
                </c:pt>
                <c:pt idx="123">
                  <c:v>4241.8765622035999</c:v>
                </c:pt>
                <c:pt idx="126">
                  <c:v>0</c:v>
                </c:pt>
                <c:pt idx="128" formatCode="0.00">
                  <c:v>3801.5437660717121</c:v>
                </c:pt>
                <c:pt idx="130" formatCode="0.00">
                  <c:v>223.81037495905278</c:v>
                </c:pt>
                <c:pt idx="131" formatCode="0.00">
                  <c:v>1784.9996337693319</c:v>
                </c:pt>
                <c:pt idx="132" formatCode="0.00">
                  <c:v>1481.9147850916656</c:v>
                </c:pt>
                <c:pt idx="133" formatCode="0.00">
                  <c:v>1358.7851007421375</c:v>
                </c:pt>
                <c:pt idx="134" formatCode="0.00">
                  <c:v>123.14608758086213</c:v>
                </c:pt>
                <c:pt idx="135" formatCode="0.00">
                  <c:v>228.93404143217569</c:v>
                </c:pt>
                <c:pt idx="136" formatCode="0">
                  <c:v>0</c:v>
                </c:pt>
                <c:pt idx="137" formatCode="0.00">
                  <c:v>81.870870906914305</c:v>
                </c:pt>
                <c:pt idx="138" formatCode="0.00">
                  <c:v>6629.2487777108172</c:v>
                </c:pt>
                <c:pt idx="139" formatCode="0.00">
                  <c:v>11480.757523176993</c:v>
                </c:pt>
                <c:pt idx="141" formatCode="0.00">
                  <c:v>296.31265745547296</c:v>
                </c:pt>
                <c:pt idx="142" formatCode="0.00">
                  <c:v>10471.002722079145</c:v>
                </c:pt>
                <c:pt idx="143" formatCode="0.00">
                  <c:v>595.78645192089016</c:v>
                </c:pt>
                <c:pt idx="145" formatCode="0.00">
                  <c:v>-7679.2137571052808</c:v>
                </c:pt>
                <c:pt idx="147" formatCode="0">
                  <c:v>26020.576907849492</c:v>
                </c:pt>
                <c:pt idx="148" formatCode="0">
                  <c:v>18947.426445271176</c:v>
                </c:pt>
                <c:pt idx="150" formatCode="0">
                  <c:v>5419.6978116685395</c:v>
                </c:pt>
                <c:pt idx="151" formatCode="0">
                  <c:v>0</c:v>
                </c:pt>
                <c:pt idx="152" formatCode="0">
                  <c:v>2845.7474223905951</c:v>
                </c:pt>
                <c:pt idx="153" formatCode="0">
                  <c:v>0</c:v>
                </c:pt>
                <c:pt idx="154" formatCode="0">
                  <c:v>2580.4475295117149</c:v>
                </c:pt>
                <c:pt idx="155" formatCode="0">
                  <c:v>0</c:v>
                </c:pt>
                <c:pt idx="156" formatCode="0">
                  <c:v>1218.21379383159</c:v>
                </c:pt>
                <c:pt idx="157" formatCode="0">
                  <c:v>724.43113606518546</c:v>
                </c:pt>
                <c:pt idx="158" formatCode="0">
                  <c:v>0</c:v>
                </c:pt>
                <c:pt idx="159" formatCode="0">
                  <c:v>805.64538898729165</c:v>
                </c:pt>
                <c:pt idx="160" formatCode="0">
                  <c:v>92.042819978386774</c:v>
                </c:pt>
                <c:pt idx="161" formatCode="0">
                  <c:v>106.11995715155184</c:v>
                </c:pt>
                <c:pt idx="162" formatCode="0">
                  <c:v>950.74818754145429</c:v>
                </c:pt>
                <c:pt idx="163" formatCode="0">
                  <c:v>1701.1678845417139</c:v>
                </c:pt>
                <c:pt idx="164" formatCode="0">
                  <c:v>1798.6249880482408</c:v>
                </c:pt>
                <c:pt idx="165" formatCode="0">
                  <c:v>730.92827629895419</c:v>
                </c:pt>
                <c:pt idx="166" formatCode="0">
                  <c:v>8026.133902115329</c:v>
                </c:pt>
                <c:pt idx="167">
                  <c:v>1602.787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2203.6133959531426</c:v>
                </c:pt>
                <c:pt idx="173" formatCode="0">
                  <c:v>6288.1488895822622</c:v>
                </c:pt>
                <c:pt idx="176" formatCode="0.00">
                  <c:v>81.478907772142577</c:v>
                </c:pt>
                <c:pt idx="178" formatCode="0.00">
                  <c:v>108.6075681053738</c:v>
                </c:pt>
                <c:pt idx="179" formatCode="0.00">
                  <c:v>177.02178423474311</c:v>
                </c:pt>
                <c:pt idx="180" formatCode="0.00">
                  <c:v>35.575392387272046</c:v>
                </c:pt>
                <c:pt idx="181" formatCode="0.00">
                  <c:v>35.575392387272046</c:v>
                </c:pt>
                <c:pt idx="182" formatCode="0.00">
                  <c:v>35.575392387272046</c:v>
                </c:pt>
                <c:pt idx="183" formatCode="0.00">
                  <c:v>0.1710355403234233</c:v>
                </c:pt>
                <c:pt idx="185" formatCode="0.00">
                  <c:v>2.1182988430829397</c:v>
                </c:pt>
                <c:pt idx="186" formatCode="0.00">
                  <c:v>10469.830567465793</c:v>
                </c:pt>
                <c:pt idx="190" formatCode="0.00">
                  <c:v>10469.830567465793</c:v>
                </c:pt>
                <c:pt idx="192">
                  <c:v>19.899999999999999</c:v>
                </c:pt>
                <c:pt idx="193" formatCode="0.00">
                  <c:v>64634.130278722943</c:v>
                </c:pt>
                <c:pt idx="194" formatCode="0.00">
                  <c:v>70.673102840615101</c:v>
                </c:pt>
                <c:pt idx="195">
                  <c:v>13822.995128101667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1"/>
          <c:order val="11"/>
          <c:val>
            <c:numRef>
              <c:f>Лист1!$L$41:$L$249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21974.979836961171</c:v>
                </c:pt>
                <c:pt idx="5">
                  <c:v>102.30000000000001</c:v>
                </c:pt>
                <c:pt idx="6" formatCode="0.00">
                  <c:v>11481.694331689921</c:v>
                </c:pt>
                <c:pt idx="7">
                  <c:v>102.2</c:v>
                </c:pt>
                <c:pt idx="8" formatCode="0.00">
                  <c:v>43.212901089508186</c:v>
                </c:pt>
                <c:pt idx="9" formatCode="0.00">
                  <c:v>100.89999999999999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796.42982603484643</c:v>
                </c:pt>
                <c:pt idx="13" formatCode="0.00">
                  <c:v>102.1</c:v>
                </c:pt>
                <c:pt idx="14">
                  <c:v>106.7</c:v>
                </c:pt>
                <c:pt idx="17" formatCode="0.00">
                  <c:v>2668.4552521918999</c:v>
                </c:pt>
                <c:pt idx="18" formatCode="0.00">
                  <c:v>103</c:v>
                </c:pt>
                <c:pt idx="19">
                  <c:v>104.9</c:v>
                </c:pt>
                <c:pt idx="20" formatCode="0.00">
                  <c:v>1909.7396955583433</c:v>
                </c:pt>
                <c:pt idx="21">
                  <c:v>104.1</c:v>
                </c:pt>
                <c:pt idx="22">
                  <c:v>104.9</c:v>
                </c:pt>
                <c:pt idx="23" formatCode="0.00">
                  <c:v>313.91902373306874</c:v>
                </c:pt>
                <c:pt idx="24" formatCode="0.00">
                  <c:v>101.8</c:v>
                </c:pt>
                <c:pt idx="25">
                  <c:v>107.6</c:v>
                </c:pt>
                <c:pt idx="26" formatCode="0.00">
                  <c:v>349.59438522558503</c:v>
                </c:pt>
                <c:pt idx="28" formatCode="0.00">
                  <c:v>17.202129655604764</c:v>
                </c:pt>
                <c:pt idx="29" formatCode="0.00">
                  <c:v>103</c:v>
                </c:pt>
                <c:pt idx="30" formatCode="0.00">
                  <c:v>12.163304169408432</c:v>
                </c:pt>
                <c:pt idx="31" formatCode="0.00">
                  <c:v>103.10000000000001</c:v>
                </c:pt>
                <c:pt idx="32">
                  <c:v>0</c:v>
                </c:pt>
                <c:pt idx="33">
                  <c:v>0</c:v>
                </c:pt>
                <c:pt idx="34" formatCode="0.00">
                  <c:v>314.95189251070832</c:v>
                </c:pt>
                <c:pt idx="35" formatCode="0.00">
                  <c:v>103</c:v>
                </c:pt>
                <c:pt idx="36">
                  <c:v>0</c:v>
                </c:pt>
                <c:pt idx="38" formatCode="0.00">
                  <c:v>3.3469479758846465</c:v>
                </c:pt>
                <c:pt idx="39" formatCode="0.00">
                  <c:v>109.5</c:v>
                </c:pt>
                <c:pt idx="40" formatCode="0.000">
                  <c:v>8.4949633974318428E-2</c:v>
                </c:pt>
                <c:pt idx="41" formatCode="0.00">
                  <c:v>103</c:v>
                </c:pt>
                <c:pt idx="42" formatCode="0.00">
                  <c:v>1.813846723592651</c:v>
                </c:pt>
                <c:pt idx="43" formatCode="0.00">
                  <c:v>103</c:v>
                </c:pt>
                <c:pt idx="44" formatCode="0.000">
                  <c:v>3.1314556411901867E-2</c:v>
                </c:pt>
                <c:pt idx="48" formatCode="0">
                  <c:v>534.57697434557394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87.407135615745503</c:v>
                </c:pt>
                <c:pt idx="54" formatCode="0">
                  <c:v>197.61613269646807</c:v>
                </c:pt>
                <c:pt idx="55" formatCode="0">
                  <c:v>16.468011058039011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2503.1376808219297</c:v>
                </c:pt>
                <c:pt idx="60" formatCode="0">
                  <c:v>0</c:v>
                </c:pt>
                <c:pt idx="61" formatCode="0.00">
                  <c:v>10492.097954909606</c:v>
                </c:pt>
                <c:pt idx="63" formatCode="0.0">
                  <c:v>324.34767920836492</c:v>
                </c:pt>
                <c:pt idx="64">
                  <c:v>0</c:v>
                </c:pt>
                <c:pt idx="65" formatCode="0.0">
                  <c:v>49888.453713497118</c:v>
                </c:pt>
                <c:pt idx="66" formatCode="0.00">
                  <c:v>374.02067692314313</c:v>
                </c:pt>
                <c:pt idx="67" formatCode="0.00">
                  <c:v>4920.5042597154852</c:v>
                </c:pt>
                <c:pt idx="68" formatCode="0.00">
                  <c:v>31.107690210961273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1193.6303377148201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105.52007194368188</c:v>
                </c:pt>
                <c:pt idx="78" formatCode="0.00">
                  <c:v>8.2191714915851364</c:v>
                </c:pt>
                <c:pt idx="79" formatCode="0.00">
                  <c:v>238.69508419033272</c:v>
                </c:pt>
                <c:pt idx="83">
                  <c:v>544709.5115995477</c:v>
                </c:pt>
                <c:pt idx="84">
                  <c:v>112125.1889475318</c:v>
                </c:pt>
                <c:pt idx="85">
                  <c:v>27475.326058005678</c:v>
                </c:pt>
                <c:pt idx="87">
                  <c:v>6890.3272975510918</c:v>
                </c:pt>
                <c:pt idx="89">
                  <c:v>20584.998760454593</c:v>
                </c:pt>
                <c:pt idx="90">
                  <c:v>30625.917864989442</c:v>
                </c:pt>
                <c:pt idx="91">
                  <c:v>7360.5807242673318</c:v>
                </c:pt>
                <c:pt idx="92">
                  <c:v>23260.029539969117</c:v>
                </c:pt>
                <c:pt idx="93" formatCode="0.0">
                  <c:v>5.3076007530050004</c:v>
                </c:pt>
                <c:pt idx="95">
                  <c:v>5857.468191016319</c:v>
                </c:pt>
                <c:pt idx="96">
                  <c:v>35702.10722516344</c:v>
                </c:pt>
                <c:pt idx="97">
                  <c:v>6023.0653345100745</c:v>
                </c:pt>
                <c:pt idx="100">
                  <c:v>3144.2226860801625</c:v>
                </c:pt>
                <c:pt idx="102">
                  <c:v>26534.819204573199</c:v>
                </c:pt>
                <c:pt idx="103">
                  <c:v>396882.21542685258</c:v>
                </c:pt>
                <c:pt idx="104">
                  <c:v>45637.935834788805</c:v>
                </c:pt>
                <c:pt idx="105">
                  <c:v>328875.92697859945</c:v>
                </c:pt>
                <c:pt idx="107">
                  <c:v>22368.352613464278</c:v>
                </c:pt>
                <c:pt idx="109">
                  <c:v>544709.5115995477</c:v>
                </c:pt>
                <c:pt idx="110">
                  <c:v>35187.269952121947</c:v>
                </c:pt>
                <c:pt idx="111">
                  <c:v>2744.0295893035845</c:v>
                </c:pt>
                <c:pt idx="113">
                  <c:v>39029.972897297572</c:v>
                </c:pt>
                <c:pt idx="114">
                  <c:v>1333.2693091548558</c:v>
                </c:pt>
                <c:pt idx="115">
                  <c:v>429756.43297081493</c:v>
                </c:pt>
                <c:pt idx="116">
                  <c:v>15955.709383683634</c:v>
                </c:pt>
                <c:pt idx="118">
                  <c:v>15230.691120823149</c:v>
                </c:pt>
                <c:pt idx="120">
                  <c:v>14264.707783776237</c:v>
                </c:pt>
                <c:pt idx="122">
                  <c:v>965.98333704691004</c:v>
                </c:pt>
                <c:pt idx="123">
                  <c:v>4284.2953278256355</c:v>
                </c:pt>
                <c:pt idx="126">
                  <c:v>0</c:v>
                </c:pt>
                <c:pt idx="128" formatCode="0.00">
                  <c:v>3877.5746413931465</c:v>
                </c:pt>
                <c:pt idx="130" formatCode="0.00">
                  <c:v>228.28658245823382</c:v>
                </c:pt>
                <c:pt idx="131" formatCode="0.00">
                  <c:v>1820.6996264447184</c:v>
                </c:pt>
                <c:pt idx="132" formatCode="0.00">
                  <c:v>1511.553080793499</c:v>
                </c:pt>
                <c:pt idx="133" formatCode="0.00">
                  <c:v>1385.9608027569802</c:v>
                </c:pt>
                <c:pt idx="134" formatCode="0.00">
                  <c:v>125.60900933247936</c:v>
                </c:pt>
                <c:pt idx="135" formatCode="0.00">
                  <c:v>233.5127222608192</c:v>
                </c:pt>
                <c:pt idx="136" formatCode="0">
                  <c:v>0</c:v>
                </c:pt>
                <c:pt idx="137" formatCode="0.00">
                  <c:v>83.508288325052604</c:v>
                </c:pt>
                <c:pt idx="138" formatCode="0.00">
                  <c:v>6761.833753265033</c:v>
                </c:pt>
                <c:pt idx="139" formatCode="0.00">
                  <c:v>11710.372673640533</c:v>
                </c:pt>
                <c:pt idx="141" formatCode="0.00">
                  <c:v>302.23891060458243</c:v>
                </c:pt>
                <c:pt idx="142" formatCode="0.00">
                  <c:v>10680.422776520727</c:v>
                </c:pt>
                <c:pt idx="143" formatCode="0.00">
                  <c:v>607.70218095930795</c:v>
                </c:pt>
                <c:pt idx="145" formatCode="0.00">
                  <c:v>-7832.7980322473868</c:v>
                </c:pt>
                <c:pt idx="147" formatCode="0">
                  <c:v>26593.029599822181</c:v>
                </c:pt>
                <c:pt idx="148" formatCode="0">
                  <c:v>19364.269827067143</c:v>
                </c:pt>
                <c:pt idx="150" formatCode="0">
                  <c:v>5473.8947897852249</c:v>
                </c:pt>
                <c:pt idx="151" formatCode="0">
                  <c:v>0</c:v>
                </c:pt>
                <c:pt idx="152" formatCode="0">
                  <c:v>2874.2048966145007</c:v>
                </c:pt>
                <c:pt idx="153" formatCode="0">
                  <c:v>0</c:v>
                </c:pt>
                <c:pt idx="154" formatCode="0">
                  <c:v>2606.2520048068322</c:v>
                </c:pt>
                <c:pt idx="155" formatCode="0">
                  <c:v>0</c:v>
                </c:pt>
                <c:pt idx="156" formatCode="0">
                  <c:v>1230.3959317699059</c:v>
                </c:pt>
                <c:pt idx="157" formatCode="0">
                  <c:v>731.67544742583732</c:v>
                </c:pt>
                <c:pt idx="158" formatCode="0">
                  <c:v>0</c:v>
                </c:pt>
                <c:pt idx="159" formatCode="0">
                  <c:v>813.70184287716461</c:v>
                </c:pt>
                <c:pt idx="160" formatCode="0">
                  <c:v>92.96324817817063</c:v>
                </c:pt>
                <c:pt idx="161" formatCode="0">
                  <c:v>107.18115672306736</c:v>
                </c:pt>
                <c:pt idx="162" formatCode="0">
                  <c:v>960.25566941686873</c:v>
                </c:pt>
                <c:pt idx="163" formatCode="0">
                  <c:v>1718.1795633871309</c:v>
                </c:pt>
                <c:pt idx="164" formatCode="0">
                  <c:v>1816.6112379287233</c:v>
                </c:pt>
                <c:pt idx="165" formatCode="0">
                  <c:v>738.23755906194378</c:v>
                </c:pt>
                <c:pt idx="166" formatCode="0">
                  <c:v>8106.3952411364826</c:v>
                </c:pt>
                <c:pt idx="167">
                  <c:v>1603.787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2225.6495299126741</c:v>
                </c:pt>
                <c:pt idx="173" formatCode="0">
                  <c:v>6351.0303784780845</c:v>
                </c:pt>
                <c:pt idx="176" formatCode="0.00">
                  <c:v>81.560386679914714</c:v>
                </c:pt>
                <c:pt idx="178" formatCode="0.0">
                  <c:v>106.47800794644489</c:v>
                </c:pt>
                <c:pt idx="179" formatCode="0.00">
                  <c:v>173.55076885759129</c:v>
                </c:pt>
                <c:pt idx="180" formatCode="0.00">
                  <c:v>34.87783567379612</c:v>
                </c:pt>
                <c:pt idx="181" formatCode="0.00">
                  <c:v>34.87783567379612</c:v>
                </c:pt>
                <c:pt idx="182" formatCode="0.00">
                  <c:v>34.87783567379612</c:v>
                </c:pt>
                <c:pt idx="183" formatCode="0.00">
                  <c:v>0.16768190227786597</c:v>
                </c:pt>
                <c:pt idx="185" formatCode="0.00">
                  <c:v>2.1182988430829397</c:v>
                </c:pt>
                <c:pt idx="186" formatCode="0.00">
                  <c:v>10574.528873140451</c:v>
                </c:pt>
                <c:pt idx="190" formatCode="0.00">
                  <c:v>10574.528873140451</c:v>
                </c:pt>
                <c:pt idx="192">
                  <c:v>19.899999999999999</c:v>
                </c:pt>
                <c:pt idx="193" formatCode="0.00">
                  <c:v>65926.812884297397</c:v>
                </c:pt>
                <c:pt idx="194" formatCode="0.00">
                  <c:v>72.793295925833547</c:v>
                </c:pt>
                <c:pt idx="195" formatCode="0.0">
                  <c:v>14237.684981944716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2"/>
          <c:order val="12"/>
          <c:val>
            <c:numRef>
              <c:f>Лист1!$M$41:$M$249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22436.454413537354</c:v>
                </c:pt>
                <c:pt idx="5">
                  <c:v>102.1</c:v>
                </c:pt>
                <c:pt idx="6">
                  <c:v>11711.328218323719</c:v>
                </c:pt>
                <c:pt idx="7">
                  <c:v>102</c:v>
                </c:pt>
                <c:pt idx="8" formatCode="0.00">
                  <c:v>44.120372012387854</c:v>
                </c:pt>
                <c:pt idx="9" formatCode="0.00">
                  <c:v>102.1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820.32272081589178</c:v>
                </c:pt>
                <c:pt idx="13" formatCode="0.00">
                  <c:v>103</c:v>
                </c:pt>
                <c:pt idx="14">
                  <c:v>106.7</c:v>
                </c:pt>
                <c:pt idx="17" formatCode="0.00">
                  <c:v>2735.1666334966972</c:v>
                </c:pt>
                <c:pt idx="18" formatCode="0.00">
                  <c:v>102.49999999999999</c:v>
                </c:pt>
                <c:pt idx="19">
                  <c:v>104.9</c:v>
                </c:pt>
                <c:pt idx="20">
                  <c:v>1946.024749773952</c:v>
                </c:pt>
                <c:pt idx="21">
                  <c:v>101.9</c:v>
                </c:pt>
                <c:pt idx="22">
                  <c:v>104.9</c:v>
                </c:pt>
                <c:pt idx="23" formatCode="0.00">
                  <c:v>323.96443249252695</c:v>
                </c:pt>
                <c:pt idx="24" formatCode="0.00">
                  <c:v>103.2</c:v>
                </c:pt>
                <c:pt idx="25">
                  <c:v>107.6</c:v>
                </c:pt>
                <c:pt idx="26" formatCode="0.00">
                  <c:v>372.71878853943537</c:v>
                </c:pt>
                <c:pt idx="28" formatCode="0.00">
                  <c:v>17.718193545272907</c:v>
                </c:pt>
                <c:pt idx="29" formatCode="0.00">
                  <c:v>103</c:v>
                </c:pt>
                <c:pt idx="30" formatCode="0.00">
                  <c:v>12.418733556966009</c:v>
                </c:pt>
                <c:pt idx="31" formatCode="0.00">
                  <c:v>102.1</c:v>
                </c:pt>
                <c:pt idx="32">
                  <c:v>0</c:v>
                </c:pt>
                <c:pt idx="33">
                  <c:v>0</c:v>
                </c:pt>
                <c:pt idx="34" formatCode="0.00">
                  <c:v>336.99852498645794</c:v>
                </c:pt>
                <c:pt idx="35" formatCode="0.00">
                  <c:v>107</c:v>
                </c:pt>
                <c:pt idx="36">
                  <c:v>0</c:v>
                </c:pt>
                <c:pt idx="38" formatCode="0.00">
                  <c:v>3.557805698365379</c:v>
                </c:pt>
                <c:pt idx="39" formatCode="0.00">
                  <c:v>106.3</c:v>
                </c:pt>
                <c:pt idx="40" formatCode="0.000">
                  <c:v>9.5993086390979823E-2</c:v>
                </c:pt>
                <c:pt idx="41" formatCode="0.00">
                  <c:v>112.99999999999999</c:v>
                </c:pt>
                <c:pt idx="42" formatCode="0.00">
                  <c:v>1.8972836728779128</c:v>
                </c:pt>
                <c:pt idx="43" formatCode="0.00">
                  <c:v>104.59999999999998</c:v>
                </c:pt>
                <c:pt idx="44" formatCode="0.000">
                  <c:v>3.2253993104258923E-2</c:v>
                </c:pt>
                <c:pt idx="48" formatCode="0">
                  <c:v>550.61428357594116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90.029349684217863</c:v>
                </c:pt>
                <c:pt idx="54" formatCode="0">
                  <c:v>203.54461667736211</c:v>
                </c:pt>
                <c:pt idx="55" formatCode="0">
                  <c:v>16.962051389780182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2578.2318112465878</c:v>
                </c:pt>
                <c:pt idx="60" formatCode="0">
                  <c:v>0</c:v>
                </c:pt>
                <c:pt idx="61" formatCode="0.00">
                  <c:v>10597.018934458702</c:v>
                </c:pt>
                <c:pt idx="63" formatCode="0.0">
                  <c:v>327.59115600044856</c:v>
                </c:pt>
                <c:pt idx="64">
                  <c:v>0</c:v>
                </c:pt>
                <c:pt idx="65">
                  <c:v>50387.338250632092</c:v>
                </c:pt>
                <c:pt idx="66" formatCode="0.00">
                  <c:v>377.76088369237453</c:v>
                </c:pt>
                <c:pt idx="67" formatCode="0.00">
                  <c:v>4969.7093023126399</c:v>
                </c:pt>
                <c:pt idx="68" formatCode="0.00">
                  <c:v>31.418767113070885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1217.5029444691165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107.41943323866815</c:v>
                </c:pt>
                <c:pt idx="78" formatCode="0.00">
                  <c:v>8.3671165784336683</c:v>
                </c:pt>
                <c:pt idx="79" formatCode="0.00">
                  <c:v>248.24288755794601</c:v>
                </c:pt>
                <c:pt idx="83">
                  <c:v>550156.6067155432</c:v>
                </c:pt>
                <c:pt idx="84">
                  <c:v>113246.44083700713</c:v>
                </c:pt>
                <c:pt idx="85">
                  <c:v>27750.079318585736</c:v>
                </c:pt>
                <c:pt idx="87">
                  <c:v>6959.2305705266026</c:v>
                </c:pt>
                <c:pt idx="89">
                  <c:v>20790.848748059139</c:v>
                </c:pt>
                <c:pt idx="90">
                  <c:v>30932.177043639338</c:v>
                </c:pt>
                <c:pt idx="91">
                  <c:v>7434.1865315100049</c:v>
                </c:pt>
                <c:pt idx="92">
                  <c:v>23492.629835368811</c:v>
                </c:pt>
                <c:pt idx="93" formatCode="0.0">
                  <c:v>5.3606767605350498</c:v>
                </c:pt>
                <c:pt idx="95">
                  <c:v>5916.0428729264822</c:v>
                </c:pt>
                <c:pt idx="96">
                  <c:v>36059.128297415074</c:v>
                </c:pt>
                <c:pt idx="97">
                  <c:v>6083.2959878551746</c:v>
                </c:pt>
                <c:pt idx="100">
                  <c:v>3175.6649129409639</c:v>
                </c:pt>
                <c:pt idx="102">
                  <c:v>26800.167396618934</c:v>
                </c:pt>
                <c:pt idx="103">
                  <c:v>400851.03758112108</c:v>
                </c:pt>
                <c:pt idx="104">
                  <c:v>46094.315193136688</c:v>
                </c:pt>
                <c:pt idx="105">
                  <c:v>332164.68624838546</c:v>
                </c:pt>
                <c:pt idx="107">
                  <c:v>22592.03613959892</c:v>
                </c:pt>
                <c:pt idx="109">
                  <c:v>550156.6067155432</c:v>
                </c:pt>
                <c:pt idx="110">
                  <c:v>35539.142651643167</c:v>
                </c:pt>
                <c:pt idx="111">
                  <c:v>2771.4698851966205</c:v>
                </c:pt>
                <c:pt idx="113">
                  <c:v>39420.272626270547</c:v>
                </c:pt>
                <c:pt idx="114">
                  <c:v>1346.6020022464043</c:v>
                </c:pt>
                <c:pt idx="115">
                  <c:v>434053.9973005231</c:v>
                </c:pt>
                <c:pt idx="116">
                  <c:v>16115.26647752047</c:v>
                </c:pt>
                <c:pt idx="118">
                  <c:v>15382.998032031381</c:v>
                </c:pt>
                <c:pt idx="120">
                  <c:v>14407.354861613998</c:v>
                </c:pt>
                <c:pt idx="122">
                  <c:v>975.64317041737911</c:v>
                </c:pt>
                <c:pt idx="123">
                  <c:v>4327.138281103892</c:v>
                </c:pt>
                <c:pt idx="126">
                  <c:v>0</c:v>
                </c:pt>
                <c:pt idx="128" formatCode="0.00">
                  <c:v>3955.1261342210096</c:v>
                </c:pt>
                <c:pt idx="130" formatCode="0.00">
                  <c:v>232.85231410739848</c:v>
                </c:pt>
                <c:pt idx="131" formatCode="0.00">
                  <c:v>1857.1136189736128</c:v>
                </c:pt>
                <c:pt idx="132" formatCode="0.00">
                  <c:v>1541.784142409369</c:v>
                </c:pt>
                <c:pt idx="133" formatCode="0.00">
                  <c:v>1413.6800188121199</c:v>
                </c:pt>
                <c:pt idx="134" formatCode="0.00">
                  <c:v>128.12118951912896</c:v>
                </c:pt>
                <c:pt idx="135" formatCode="0.00">
                  <c:v>238.18297670603559</c:v>
                </c:pt>
                <c:pt idx="136" formatCode="0">
                  <c:v>0</c:v>
                </c:pt>
                <c:pt idx="137" formatCode="0.00">
                  <c:v>85.178454091553647</c:v>
                </c:pt>
                <c:pt idx="138" formatCode="0.00">
                  <c:v>6897.0704283303339</c:v>
                </c:pt>
                <c:pt idx="139" formatCode="0.00">
                  <c:v>11944.580127113346</c:v>
                </c:pt>
                <c:pt idx="141" formatCode="0.00">
                  <c:v>308.2836888166741</c:v>
                </c:pt>
                <c:pt idx="142" formatCode="0.00">
                  <c:v>10894.031232051142</c:v>
                </c:pt>
                <c:pt idx="143" formatCode="0.00">
                  <c:v>619.85622457849411</c:v>
                </c:pt>
                <c:pt idx="145" formatCode="0.00">
                  <c:v>-7989.4539928923368</c:v>
                </c:pt>
                <c:pt idx="147" formatCode="0">
                  <c:v>27178.076251018272</c:v>
                </c:pt>
                <c:pt idx="148" formatCode="0">
                  <c:v>19790.283763262622</c:v>
                </c:pt>
                <c:pt idx="150" formatCode="0">
                  <c:v>5528.633737683077</c:v>
                </c:pt>
                <c:pt idx="151" formatCode="0">
                  <c:v>0</c:v>
                </c:pt>
                <c:pt idx="152" formatCode="0">
                  <c:v>2902.9469455806457</c:v>
                </c:pt>
                <c:pt idx="153" formatCode="0">
                  <c:v>0</c:v>
                </c:pt>
                <c:pt idx="154" formatCode="0">
                  <c:v>2632.3145248549008</c:v>
                </c:pt>
                <c:pt idx="155" formatCode="0">
                  <c:v>0</c:v>
                </c:pt>
                <c:pt idx="156" formatCode="0">
                  <c:v>1242.699891087605</c:v>
                </c:pt>
                <c:pt idx="157" formatCode="0">
                  <c:v>738.99220190009567</c:v>
                </c:pt>
                <c:pt idx="158" formatCode="0">
                  <c:v>0</c:v>
                </c:pt>
                <c:pt idx="159" formatCode="0">
                  <c:v>821.83886130593635</c:v>
                </c:pt>
                <c:pt idx="160" formatCode="0">
                  <c:v>93.89288065995234</c:v>
                </c:pt>
                <c:pt idx="161" formatCode="0">
                  <c:v>108.25296829029803</c:v>
                </c:pt>
                <c:pt idx="162" formatCode="0">
                  <c:v>969.85822611103731</c:v>
                </c:pt>
                <c:pt idx="163" formatCode="0">
                  <c:v>1735.361359021002</c:v>
                </c:pt>
                <c:pt idx="164" formatCode="0">
                  <c:v>1834.7773503080107</c:v>
                </c:pt>
                <c:pt idx="165" formatCode="0">
                  <c:v>745.61993465256319</c:v>
                </c:pt>
                <c:pt idx="166" formatCode="0">
                  <c:v>8187.4591935478475</c:v>
                </c:pt>
                <c:pt idx="167">
                  <c:v>1604.787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2247.9060252118011</c:v>
                </c:pt>
                <c:pt idx="173" formatCode="0">
                  <c:v>6414.5406822628656</c:v>
                </c:pt>
                <c:pt idx="176" formatCode="0.00">
                  <c:v>81.641947066594625</c:v>
                </c:pt>
                <c:pt idx="178" formatCode="0.00">
                  <c:v>103.88098336238525</c:v>
                </c:pt>
                <c:pt idx="179" formatCode="0.00">
                  <c:v>169.3178232756988</c:v>
                </c:pt>
                <c:pt idx="180" formatCode="0.00">
                  <c:v>34.027156754923048</c:v>
                </c:pt>
                <c:pt idx="181" formatCode="0.00">
                  <c:v>34.027156754923048</c:v>
                </c:pt>
                <c:pt idx="182" formatCode="0.00">
                  <c:v>34.027156754923048</c:v>
                </c:pt>
                <c:pt idx="183" formatCode="0.00">
                  <c:v>0.16359209978328387</c:v>
                </c:pt>
                <c:pt idx="185" formatCode="0.00">
                  <c:v>2.1182988430829397</c:v>
                </c:pt>
                <c:pt idx="186" formatCode="0.00">
                  <c:v>10680.274161871856</c:v>
                </c:pt>
                <c:pt idx="190" formatCode="0.00">
                  <c:v>10680.274161871856</c:v>
                </c:pt>
                <c:pt idx="192">
                  <c:v>19.899999999999999</c:v>
                </c:pt>
                <c:pt idx="193" formatCode="0.00">
                  <c:v>67245.349141983344</c:v>
                </c:pt>
                <c:pt idx="194" formatCode="0.00">
                  <c:v>74.977094803608551</c:v>
                </c:pt>
                <c:pt idx="195">
                  <c:v>14664.815531403057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3"/>
          <c:order val="13"/>
          <c:val>
            <c:numRef>
              <c:f>Лист1!$N$41:$N$249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22952.492865048713</c:v>
                </c:pt>
                <c:pt idx="5">
                  <c:v>102.3</c:v>
                </c:pt>
                <c:pt idx="6">
                  <c:v>11828.441500506955</c:v>
                </c:pt>
                <c:pt idx="7">
                  <c:v>101</c:v>
                </c:pt>
                <c:pt idx="8" formatCode="0.00">
                  <c:v>45.488103544771874</c:v>
                </c:pt>
                <c:pt idx="9" formatCode="0.00">
                  <c:v>103.1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851.49498420689565</c:v>
                </c:pt>
                <c:pt idx="13" formatCode="0.00">
                  <c:v>103.8</c:v>
                </c:pt>
                <c:pt idx="14">
                  <c:v>106.7</c:v>
                </c:pt>
                <c:pt idx="17" formatCode="0.00">
                  <c:v>2781.6644662661406</c:v>
                </c:pt>
                <c:pt idx="18" formatCode="0.00">
                  <c:v>101.69999999999999</c:v>
                </c:pt>
                <c:pt idx="19">
                  <c:v>104.9</c:v>
                </c:pt>
                <c:pt idx="20">
                  <c:v>1969.3770467712395</c:v>
                </c:pt>
                <c:pt idx="21">
                  <c:v>101.2</c:v>
                </c:pt>
                <c:pt idx="22">
                  <c:v>104.9</c:v>
                </c:pt>
                <c:pt idx="23" formatCode="0.00">
                  <c:v>333.35940103481028</c:v>
                </c:pt>
                <c:pt idx="24" formatCode="0.00">
                  <c:v>102.90000000000002</c:v>
                </c:pt>
                <c:pt idx="25">
                  <c:v>107.6</c:v>
                </c:pt>
                <c:pt idx="26" formatCode="0.00">
                  <c:v>400.82006388144237</c:v>
                </c:pt>
                <c:pt idx="28" formatCode="0.00">
                  <c:v>18.249739351631096</c:v>
                </c:pt>
                <c:pt idx="29" formatCode="0.00">
                  <c:v>103</c:v>
                </c:pt>
                <c:pt idx="30" formatCode="0.00">
                  <c:v>12.654689494548363</c:v>
                </c:pt>
                <c:pt idx="31" formatCode="0.00">
                  <c:v>101.89999999999999</c:v>
                </c:pt>
                <c:pt idx="32">
                  <c:v>0</c:v>
                </c:pt>
                <c:pt idx="33">
                  <c:v>0</c:v>
                </c:pt>
                <c:pt idx="34" formatCode="0.00">
                  <c:v>363.95840698537461</c:v>
                </c:pt>
                <c:pt idx="35" formatCode="0.00">
                  <c:v>108</c:v>
                </c:pt>
                <c:pt idx="36">
                  <c:v>0</c:v>
                </c:pt>
                <c:pt idx="38" formatCode="0.00">
                  <c:v>3.8139677086476866</c:v>
                </c:pt>
                <c:pt idx="39" formatCode="0.00">
                  <c:v>107.2</c:v>
                </c:pt>
                <c:pt idx="40" formatCode="0.000">
                  <c:v>0.10271260243834841</c:v>
                </c:pt>
                <c:pt idx="41" formatCode="0.00">
                  <c:v>107</c:v>
                </c:pt>
                <c:pt idx="42" formatCode="0.00">
                  <c:v>2.0073261259048318</c:v>
                </c:pt>
                <c:pt idx="43" formatCode="0.00">
                  <c:v>105.80000000000001</c:v>
                </c:pt>
                <c:pt idx="44" formatCode="0.000">
                  <c:v>3.322161289738669E-2</c:v>
                </c:pt>
                <c:pt idx="48" formatCode="0">
                  <c:v>567.13271208321942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92.730230174744392</c:v>
                </c:pt>
                <c:pt idx="54" formatCode="0">
                  <c:v>209.65095517768299</c:v>
                </c:pt>
                <c:pt idx="55" formatCode="0">
                  <c:v>17.470912931473588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2655.5787655839854</c:v>
                </c:pt>
                <c:pt idx="60" formatCode="0">
                  <c:v>0</c:v>
                </c:pt>
                <c:pt idx="61" formatCode="0.00">
                  <c:v>10702.989123803289</c:v>
                </c:pt>
                <c:pt idx="63" formatCode="0.0">
                  <c:v>330.86706756045305</c:v>
                </c:pt>
                <c:pt idx="64">
                  <c:v>0</c:v>
                </c:pt>
                <c:pt idx="65">
                  <c:v>50891.211633138417</c:v>
                </c:pt>
                <c:pt idx="66" formatCode="0.00">
                  <c:v>381.53849252929831</c:v>
                </c:pt>
                <c:pt idx="67" formatCode="0.00">
                  <c:v>5019.4063953357663</c:v>
                </c:pt>
                <c:pt idx="68" formatCode="0.00">
                  <c:v>31.732954784201592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1241.8530033584989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109.35298303696418</c:v>
                </c:pt>
                <c:pt idx="78" formatCode="0.00">
                  <c:v>8.5177246768454751</c:v>
                </c:pt>
                <c:pt idx="79" formatCode="0.00">
                  <c:v>258.17260306026384</c:v>
                </c:pt>
                <c:pt idx="83">
                  <c:v>555658.17278269865</c:v>
                </c:pt>
                <c:pt idx="84">
                  <c:v>114378.9052453772</c:v>
                </c:pt>
                <c:pt idx="85">
                  <c:v>28027.580111771593</c:v>
                </c:pt>
                <c:pt idx="87">
                  <c:v>7028.8228762318686</c:v>
                </c:pt>
                <c:pt idx="89">
                  <c:v>20998.757235539731</c:v>
                </c:pt>
                <c:pt idx="90">
                  <c:v>31241.498814075734</c:v>
                </c:pt>
                <c:pt idx="91">
                  <c:v>7508.5283968251051</c:v>
                </c:pt>
                <c:pt idx="92">
                  <c:v>23727.556133722501</c:v>
                </c:pt>
                <c:pt idx="93" formatCode="0.0">
                  <c:v>5.4142835281404009</c:v>
                </c:pt>
                <c:pt idx="95">
                  <c:v>5975.2033016557471</c:v>
                </c:pt>
                <c:pt idx="96">
                  <c:v>36419.719580389225</c:v>
                </c:pt>
                <c:pt idx="97">
                  <c:v>6144.1289477337268</c:v>
                </c:pt>
                <c:pt idx="100">
                  <c:v>3207.4215620703735</c:v>
                </c:pt>
                <c:pt idx="102">
                  <c:v>27068.169070585122</c:v>
                </c:pt>
                <c:pt idx="103">
                  <c:v>404859.54795693228</c:v>
                </c:pt>
                <c:pt idx="104">
                  <c:v>46555.258345068061</c:v>
                </c:pt>
                <c:pt idx="105">
                  <c:v>335486.33311086928</c:v>
                </c:pt>
                <c:pt idx="107">
                  <c:v>22817.956500994907</c:v>
                </c:pt>
                <c:pt idx="109">
                  <c:v>555658.17278269865</c:v>
                </c:pt>
                <c:pt idx="110">
                  <c:v>35894.534078159595</c:v>
                </c:pt>
                <c:pt idx="111">
                  <c:v>2799.1845840485867</c:v>
                </c:pt>
                <c:pt idx="113">
                  <c:v>39814.475352533256</c:v>
                </c:pt>
                <c:pt idx="114">
                  <c:v>1360.0680222688682</c:v>
                </c:pt>
                <c:pt idx="115">
                  <c:v>438394.53727352835</c:v>
                </c:pt>
                <c:pt idx="116">
                  <c:v>16276.419142295674</c:v>
                </c:pt>
                <c:pt idx="118">
                  <c:v>15536.828012351694</c:v>
                </c:pt>
                <c:pt idx="120">
                  <c:v>14551.428410230137</c:v>
                </c:pt>
                <c:pt idx="122">
                  <c:v>985.3996021215529</c:v>
                </c:pt>
                <c:pt idx="123">
                  <c:v>4370.4096639149311</c:v>
                </c:pt>
                <c:pt idx="126">
                  <c:v>0</c:v>
                </c:pt>
                <c:pt idx="128" formatCode="0.00">
                  <c:v>4034.2286569054295</c:v>
                </c:pt>
                <c:pt idx="130" formatCode="0.00">
                  <c:v>237.50936038954646</c:v>
                </c:pt>
                <c:pt idx="131" formatCode="0.00">
                  <c:v>1894.2558913530852</c:v>
                </c:pt>
                <c:pt idx="132" formatCode="0.00">
                  <c:v>1572.6198252575566</c:v>
                </c:pt>
                <c:pt idx="133" formatCode="0.00">
                  <c:v>1441.9536191883622</c:v>
                </c:pt>
                <c:pt idx="134" formatCode="0.00">
                  <c:v>130.68361330951154</c:v>
                </c:pt>
                <c:pt idx="135" formatCode="0.00">
                  <c:v>242.94663624015629</c:v>
                </c:pt>
                <c:pt idx="136" formatCode="0">
                  <c:v>0</c:v>
                </c:pt>
                <c:pt idx="137" formatCode="0.00">
                  <c:v>86.882023173384709</c:v>
                </c:pt>
                <c:pt idx="138" formatCode="0.00">
                  <c:v>7035.0118368969406</c:v>
                </c:pt>
                <c:pt idx="139" formatCode="0.00">
                  <c:v>12183.471729655612</c:v>
                </c:pt>
                <c:pt idx="141" formatCode="0.00">
                  <c:v>314.44936259300755</c:v>
                </c:pt>
                <c:pt idx="142" formatCode="0.00">
                  <c:v>11111.911856692166</c:v>
                </c:pt>
                <c:pt idx="143" formatCode="0.00">
                  <c:v>632.25334907006402</c:v>
                </c:pt>
                <c:pt idx="145" formatCode="0.00">
                  <c:v>-8149.2430727501824</c:v>
                </c:pt>
                <c:pt idx="147">
                  <c:v>27775.993928540676</c:v>
                </c:pt>
                <c:pt idx="148" formatCode="0">
                  <c:v>20225.670006054399</c:v>
                </c:pt>
                <c:pt idx="150" formatCode="0">
                  <c:v>5583.9200750599084</c:v>
                </c:pt>
                <c:pt idx="151" formatCode="0">
                  <c:v>0</c:v>
                </c:pt>
                <c:pt idx="152" formatCode="0">
                  <c:v>2931.9764150364522</c:v>
                </c:pt>
                <c:pt idx="153" formatCode="0">
                  <c:v>0</c:v>
                </c:pt>
                <c:pt idx="154" formatCode="0">
                  <c:v>2658.6376701034501</c:v>
                </c:pt>
                <c:pt idx="155" formatCode="0">
                  <c:v>0</c:v>
                </c:pt>
                <c:pt idx="156" formatCode="0">
                  <c:v>1255.1268899984811</c:v>
                </c:pt>
                <c:pt idx="157" formatCode="0">
                  <c:v>746.38212391909667</c:v>
                </c:pt>
                <c:pt idx="158" formatCode="0">
                  <c:v>0</c:v>
                </c:pt>
                <c:pt idx="159" formatCode="0">
                  <c:v>830.05724991899569</c:v>
                </c:pt>
                <c:pt idx="160" formatCode="0">
                  <c:v>94.83180946655186</c:v>
                </c:pt>
                <c:pt idx="161" formatCode="0">
                  <c:v>109.335497973201</c:v>
                </c:pt>
                <c:pt idx="162" formatCode="0">
                  <c:v>979.55680837214766</c:v>
                </c:pt>
                <c:pt idx="163" formatCode="0">
                  <c:v>1752.714972611212</c:v>
                </c:pt>
                <c:pt idx="164" formatCode="0">
                  <c:v>1853.1251238110908</c:v>
                </c:pt>
                <c:pt idx="165" formatCode="0">
                  <c:v>753.07613399908882</c:v>
                </c:pt>
                <c:pt idx="166" formatCode="0">
                  <c:v>8269.3337854833262</c:v>
                </c:pt>
                <c:pt idx="167">
                  <c:v>1605.787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2270.385085463919</c:v>
                </c:pt>
                <c:pt idx="173" formatCode="0">
                  <c:v>6478.6860890854941</c:v>
                </c:pt>
                <c:pt idx="176" formatCode="0.00">
                  <c:v>81.723589013661211</c:v>
                </c:pt>
                <c:pt idx="178" formatCode="0.00">
                  <c:v>101.84410133567182</c:v>
                </c:pt>
                <c:pt idx="179" formatCode="0.00">
                  <c:v>165.99786595656747</c:v>
                </c:pt>
                <c:pt idx="180" formatCode="0.00">
                  <c:v>33.359957602865734</c:v>
                </c:pt>
                <c:pt idx="181" formatCode="0.00">
                  <c:v>33.359957602865734</c:v>
                </c:pt>
                <c:pt idx="182" formatCode="0.00">
                  <c:v>33.359957602865734</c:v>
                </c:pt>
                <c:pt idx="183" formatCode="0.00">
                  <c:v>0.16038441155223909</c:v>
                </c:pt>
                <c:pt idx="185" formatCode="0.00">
                  <c:v>2.1182988430829397</c:v>
                </c:pt>
                <c:pt idx="186" formatCode="0.00">
                  <c:v>10787.076903490573</c:v>
                </c:pt>
                <c:pt idx="190" formatCode="0.00">
                  <c:v>10787.076903490573</c:v>
                </c:pt>
                <c:pt idx="192">
                  <c:v>19.899999999999999</c:v>
                </c:pt>
                <c:pt idx="193" formatCode="0.00">
                  <c:v>68590.256124823005</c:v>
                </c:pt>
                <c:pt idx="194" formatCode="0.00">
                  <c:v>77.226407647716812</c:v>
                </c:pt>
                <c:pt idx="195">
                  <c:v>15104.759997345149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4"/>
          <c:order val="14"/>
          <c:val>
            <c:numRef>
              <c:f>Лист1!$O$41:$O$249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23411.542722349688</c:v>
                </c:pt>
                <c:pt idx="5">
                  <c:v>102</c:v>
                </c:pt>
                <c:pt idx="6">
                  <c:v>11852.098383507968</c:v>
                </c:pt>
                <c:pt idx="7">
                  <c:v>100.2</c:v>
                </c:pt>
                <c:pt idx="8" formatCode="0.00">
                  <c:v>47.48958010074184</c:v>
                </c:pt>
                <c:pt idx="9" formatCode="0.00">
                  <c:v>104.4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877.03983373310257</c:v>
                </c:pt>
                <c:pt idx="13" formatCode="0.00">
                  <c:v>103</c:v>
                </c:pt>
                <c:pt idx="14">
                  <c:v>106.7</c:v>
                </c:pt>
                <c:pt idx="17" formatCode="0.00">
                  <c:v>2876.2410581191898</c:v>
                </c:pt>
                <c:pt idx="18" formatCode="0.00">
                  <c:v>103.40000000000002</c:v>
                </c:pt>
                <c:pt idx="19">
                  <c:v>104.9</c:v>
                </c:pt>
                <c:pt idx="20">
                  <c:v>1991.0401942857229</c:v>
                </c:pt>
                <c:pt idx="21">
                  <c:v>101.1</c:v>
                </c:pt>
                <c:pt idx="22">
                  <c:v>104.9</c:v>
                </c:pt>
                <c:pt idx="23" formatCode="0.00">
                  <c:v>345.69369887309824</c:v>
                </c:pt>
                <c:pt idx="24" formatCode="0.00">
                  <c:v>103.69999999999999</c:v>
                </c:pt>
                <c:pt idx="25">
                  <c:v>107.6</c:v>
                </c:pt>
                <c:pt idx="26" formatCode="0.00">
                  <c:v>438.86256653912204</c:v>
                </c:pt>
                <c:pt idx="28" formatCode="0.00">
                  <c:v>18.797231532180028</c:v>
                </c:pt>
                <c:pt idx="29" formatCode="0.00">
                  <c:v>103</c:v>
                </c:pt>
                <c:pt idx="30" formatCode="0.00">
                  <c:v>13.28742396927578</c:v>
                </c:pt>
                <c:pt idx="31" formatCode="0.00">
                  <c:v>105</c:v>
                </c:pt>
                <c:pt idx="32">
                  <c:v>0</c:v>
                </c:pt>
                <c:pt idx="33">
                  <c:v>0</c:v>
                </c:pt>
                <c:pt idx="34" formatCode="0.00">
                  <c:v>400.35424768391204</c:v>
                </c:pt>
                <c:pt idx="35" formatCode="0.00">
                  <c:v>109.99999999999999</c:v>
                </c:pt>
                <c:pt idx="36">
                  <c:v>0</c:v>
                </c:pt>
                <c:pt idx="38" formatCode="0.00">
                  <c:v>4.1610387701346259</c:v>
                </c:pt>
                <c:pt idx="39" formatCode="0.00">
                  <c:v>109.1</c:v>
                </c:pt>
                <c:pt idx="40" formatCode="0.000">
                  <c:v>0.10866993337977261</c:v>
                </c:pt>
                <c:pt idx="41" formatCode="0.00">
                  <c:v>105.79999999999998</c:v>
                </c:pt>
                <c:pt idx="42" formatCode="0.00">
                  <c:v>2.1197363889555025</c:v>
                </c:pt>
                <c:pt idx="43" formatCode="0.00">
                  <c:v>105.60000000000001</c:v>
                </c:pt>
                <c:pt idx="44" formatCode="0.000">
                  <c:v>3.4218261284308292E-2</c:v>
                </c:pt>
                <c:pt idx="48" formatCode="0">
                  <c:v>584.14669344571598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95.512137079986729</c:v>
                </c:pt>
                <c:pt idx="54" formatCode="0">
                  <c:v>215.9404838330135</c:v>
                </c:pt>
                <c:pt idx="55" formatCode="0">
                  <c:v>17.995040319417797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2735.2461285515046</c:v>
                </c:pt>
                <c:pt idx="60" formatCode="0">
                  <c:v>0</c:v>
                </c:pt>
                <c:pt idx="61" formatCode="0.00">
                  <c:v>10810.019015041322</c:v>
                </c:pt>
                <c:pt idx="63" formatCode="0.0">
                  <c:v>334.17573823605761</c:v>
                </c:pt>
                <c:pt idx="64">
                  <c:v>0</c:v>
                </c:pt>
                <c:pt idx="65">
                  <c:v>51400.1237494698</c:v>
                </c:pt>
                <c:pt idx="66" formatCode="0.00">
                  <c:v>385.35387745459127</c:v>
                </c:pt>
                <c:pt idx="67" formatCode="0.00">
                  <c:v>5069.600459289124</c:v>
                </c:pt>
                <c:pt idx="68" formatCode="0.00">
                  <c:v>32.05028433204361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1266.690063425669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111.32133673162953</c:v>
                </c:pt>
                <c:pt idx="78" formatCode="0.00">
                  <c:v>8.6710437210286937</c:v>
                </c:pt>
                <c:pt idx="79" formatCode="0.00">
                  <c:v>268.49950718267439</c:v>
                </c:pt>
                <c:pt idx="83">
                  <c:v>561214.75451052561</c:v>
                </c:pt>
                <c:pt idx="84">
                  <c:v>115522.69429783097</c:v>
                </c:pt>
                <c:pt idx="85">
                  <c:v>28307.855912889307</c:v>
                </c:pt>
                <c:pt idx="87">
                  <c:v>7099.1111049941865</c:v>
                </c:pt>
                <c:pt idx="89">
                  <c:v>21208.744807895127</c:v>
                </c:pt>
                <c:pt idx="90">
                  <c:v>31553.913802216492</c:v>
                </c:pt>
                <c:pt idx="91">
                  <c:v>7583.6136807933563</c:v>
                </c:pt>
                <c:pt idx="92">
                  <c:v>23964.831695059725</c:v>
                </c:pt>
                <c:pt idx="93" formatCode="0.0">
                  <c:v>5.4684263634218055</c:v>
                </c:pt>
                <c:pt idx="95">
                  <c:v>6034.9553346723051</c:v>
                </c:pt>
                <c:pt idx="96">
                  <c:v>36783.916776193117</c:v>
                </c:pt>
                <c:pt idx="97">
                  <c:v>6205.5702372110636</c:v>
                </c:pt>
                <c:pt idx="100">
                  <c:v>3239.4957776910769</c:v>
                </c:pt>
                <c:pt idx="102">
                  <c:v>27338.850761290974</c:v>
                </c:pt>
                <c:pt idx="103">
                  <c:v>408908.14343650162</c:v>
                </c:pt>
                <c:pt idx="104">
                  <c:v>47020.810928518746</c:v>
                </c:pt>
                <c:pt idx="105">
                  <c:v>338841.19644197798</c:v>
                </c:pt>
                <c:pt idx="107">
                  <c:v>23046.136066004856</c:v>
                </c:pt>
                <c:pt idx="109">
                  <c:v>561214.75451052561</c:v>
                </c:pt>
                <c:pt idx="110">
                  <c:v>36253.479418941191</c:v>
                </c:pt>
                <c:pt idx="111">
                  <c:v>2827.1764298890721</c:v>
                </c:pt>
                <c:pt idx="113">
                  <c:v>40212.620106058588</c:v>
                </c:pt>
                <c:pt idx="114">
                  <c:v>1373.6687024915568</c:v>
                </c:pt>
                <c:pt idx="115">
                  <c:v>442778.48264626361</c:v>
                </c:pt>
                <c:pt idx="116">
                  <c:v>16439.183333718629</c:v>
                </c:pt>
                <c:pt idx="118">
                  <c:v>15692.19629247521</c:v>
                </c:pt>
                <c:pt idx="120">
                  <c:v>14696.94269433244</c:v>
                </c:pt>
                <c:pt idx="122">
                  <c:v>995.25359814276851</c:v>
                </c:pt>
                <c:pt idx="123">
                  <c:v>4414.1137605540807</c:v>
                </c:pt>
                <c:pt idx="126">
                  <c:v>0</c:v>
                </c:pt>
                <c:pt idx="128" formatCode="0.00">
                  <c:v>4114.9132300435376</c:v>
                </c:pt>
                <c:pt idx="130" formatCode="0.00">
                  <c:v>242.25954759733742</c:v>
                </c:pt>
                <c:pt idx="131" formatCode="0.00">
                  <c:v>1932.1410091801467</c:v>
                </c:pt>
                <c:pt idx="132" formatCode="0.00">
                  <c:v>1604.0722217627076</c:v>
                </c:pt>
                <c:pt idx="133" formatCode="0.00">
                  <c:v>1470.7926915721293</c:v>
                </c:pt>
                <c:pt idx="134" formatCode="0.00">
                  <c:v>133.29728557570178</c:v>
                </c:pt>
                <c:pt idx="135" formatCode="0.00">
                  <c:v>247.80556896495943</c:v>
                </c:pt>
                <c:pt idx="136" formatCode="0">
                  <c:v>0</c:v>
                </c:pt>
                <c:pt idx="137" formatCode="0.00">
                  <c:v>88.619663636852408</c:v>
                </c:pt>
                <c:pt idx="138" formatCode="0.00">
                  <c:v>7175.7120736348788</c:v>
                </c:pt>
                <c:pt idx="139" formatCode="0.00">
                  <c:v>12427.141164248724</c:v>
                </c:pt>
                <c:pt idx="141" formatCode="0.00">
                  <c:v>320.73834984486768</c:v>
                </c:pt>
                <c:pt idx="142" formatCode="0.00">
                  <c:v>11334.150093826009</c:v>
                </c:pt>
                <c:pt idx="143" formatCode="0.00">
                  <c:v>644.89841605146535</c:v>
                </c:pt>
                <c:pt idx="145" formatCode="0.00">
                  <c:v>-8312.2279342051861</c:v>
                </c:pt>
                <c:pt idx="147" formatCode="0">
                  <c:v>28387.065794968574</c:v>
                </c:pt>
                <c:pt idx="148" formatCode="0">
                  <c:v>20670.634746187596</c:v>
                </c:pt>
                <c:pt idx="150" formatCode="0">
                  <c:v>5639.7592758105075</c:v>
                </c:pt>
                <c:pt idx="151" formatCode="0">
                  <c:v>0</c:v>
                </c:pt>
                <c:pt idx="152" formatCode="0">
                  <c:v>2961.2961791868165</c:v>
                </c:pt>
                <c:pt idx="153" formatCode="0">
                  <c:v>0</c:v>
                </c:pt>
                <c:pt idx="154" formatCode="0">
                  <c:v>2685.2240468044847</c:v>
                </c:pt>
                <c:pt idx="155" formatCode="0">
                  <c:v>0</c:v>
                </c:pt>
                <c:pt idx="156" formatCode="0">
                  <c:v>1267.6781588984659</c:v>
                </c:pt>
                <c:pt idx="157" formatCode="0">
                  <c:v>753.84594515828769</c:v>
                </c:pt>
                <c:pt idx="158" formatCode="0">
                  <c:v>0</c:v>
                </c:pt>
                <c:pt idx="159" formatCode="0">
                  <c:v>838.35782241818572</c:v>
                </c:pt>
                <c:pt idx="160" formatCode="0">
                  <c:v>95.780127561217384</c:v>
                </c:pt>
                <c:pt idx="161" formatCode="0">
                  <c:v>110.42885295293301</c:v>
                </c:pt>
                <c:pt idx="162" formatCode="0">
                  <c:v>989.35237645586903</c:v>
                </c:pt>
                <c:pt idx="163" formatCode="0">
                  <c:v>1770.2421223373242</c:v>
                </c:pt>
                <c:pt idx="164" formatCode="0">
                  <c:v>1871.6563750492016</c:v>
                </c:pt>
                <c:pt idx="165" formatCode="0">
                  <c:v>760.60689533907976</c:v>
                </c:pt>
                <c:pt idx="166" formatCode="0">
                  <c:v>8352.0271233381591</c:v>
                </c:pt>
                <c:pt idx="167">
                  <c:v>1606.787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2293.0889363185579</c:v>
                </c:pt>
                <c:pt idx="173" formatCode="0">
                  <c:v>6543.4729499763498</c:v>
                </c:pt>
                <c:pt idx="176" formatCode="0.00">
                  <c:v>81.80531260267486</c:v>
                </c:pt>
                <c:pt idx="178">
                  <c:v>92.585546668792574</c:v>
                </c:pt>
                <c:pt idx="179" formatCode="0.00">
                  <c:v>150.9071508696068</c:v>
                </c:pt>
                <c:pt idx="180" formatCode="0.00">
                  <c:v>30.327234184423396</c:v>
                </c:pt>
                <c:pt idx="181" formatCode="0.00">
                  <c:v>30.327234184423396</c:v>
                </c:pt>
                <c:pt idx="182" formatCode="0.00">
                  <c:v>30.327234184423396</c:v>
                </c:pt>
                <c:pt idx="183" formatCode="0.00">
                  <c:v>0.14580401050203556</c:v>
                </c:pt>
                <c:pt idx="185" formatCode="0.00">
                  <c:v>2.1182988430829397</c:v>
                </c:pt>
                <c:pt idx="186" formatCode="0.00">
                  <c:v>10894.947672525479</c:v>
                </c:pt>
                <c:pt idx="190" formatCode="0.00">
                  <c:v>10894.947672525479</c:v>
                </c:pt>
                <c:pt idx="192">
                  <c:v>19.899999999999999</c:v>
                </c:pt>
                <c:pt idx="193" formatCode="0.00">
                  <c:v>69962.061247319463</c:v>
                </c:pt>
                <c:pt idx="194" formatCode="0.00">
                  <c:v>79.543199877148311</c:v>
                </c:pt>
                <c:pt idx="195">
                  <c:v>15557.902797265502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5"/>
          <c:order val="15"/>
          <c:val>
            <c:numRef>
              <c:f>Лист1!$P$41:$P$249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23973.419747686083</c:v>
                </c:pt>
                <c:pt idx="5">
                  <c:v>102.4</c:v>
                </c:pt>
                <c:pt idx="6">
                  <c:v>12089.140351178126</c:v>
                </c:pt>
                <c:pt idx="7">
                  <c:v>102</c:v>
                </c:pt>
                <c:pt idx="8" formatCode="0.00">
                  <c:v>49.911548685879673</c:v>
                </c:pt>
                <c:pt idx="9" formatCode="0.00">
                  <c:v>105.1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903.35102874509573</c:v>
                </c:pt>
                <c:pt idx="13" formatCode="0.00">
                  <c:v>103</c:v>
                </c:pt>
                <c:pt idx="14">
                  <c:v>106.7</c:v>
                </c:pt>
                <c:pt idx="17" formatCode="0.00">
                  <c:v>3132.2265122917979</c:v>
                </c:pt>
                <c:pt idx="18" formatCode="0.00">
                  <c:v>108.89999999999999</c:v>
                </c:pt>
                <c:pt idx="19">
                  <c:v>104.9</c:v>
                </c:pt>
                <c:pt idx="20">
                  <c:v>2062.717641280009</c:v>
                </c:pt>
                <c:pt idx="21">
                  <c:v>103.60000000000001</c:v>
                </c:pt>
                <c:pt idx="22">
                  <c:v>104.9</c:v>
                </c:pt>
                <c:pt idx="23" formatCode="0.00">
                  <c:v>359.86714052689524</c:v>
                </c:pt>
                <c:pt idx="24" formatCode="0.00">
                  <c:v>104.1</c:v>
                </c:pt>
                <c:pt idx="25">
                  <c:v>107.6</c:v>
                </c:pt>
                <c:pt idx="26" formatCode="0.00">
                  <c:v>456.51122875464029</c:v>
                </c:pt>
                <c:pt idx="28" formatCode="0.00">
                  <c:v>19.361148478145427</c:v>
                </c:pt>
                <c:pt idx="29" formatCode="0.00">
                  <c:v>102.99999999999999</c:v>
                </c:pt>
                <c:pt idx="30" formatCode="0.00">
                  <c:v>14.217543647125085</c:v>
                </c:pt>
                <c:pt idx="31" formatCode="0.00">
                  <c:v>107</c:v>
                </c:pt>
                <c:pt idx="32">
                  <c:v>0</c:v>
                </c:pt>
                <c:pt idx="33">
                  <c:v>0</c:v>
                </c:pt>
                <c:pt idx="34" formatCode="0.00">
                  <c:v>415.96806334358467</c:v>
                </c:pt>
                <c:pt idx="35" formatCode="0.00">
                  <c:v>103.90000000000002</c:v>
                </c:pt>
                <c:pt idx="36">
                  <c:v>0</c:v>
                </c:pt>
                <c:pt idx="38" formatCode="0.00">
                  <c:v>4.5438543369870112</c:v>
                </c:pt>
                <c:pt idx="39" formatCode="0.00">
                  <c:v>109.19999999999999</c:v>
                </c:pt>
                <c:pt idx="40" formatCode="0.000">
                  <c:v>0.11301673071496351</c:v>
                </c:pt>
                <c:pt idx="41" formatCode="0.00">
                  <c:v>104</c:v>
                </c:pt>
                <c:pt idx="42" formatCode="0.00">
                  <c:v>2.2723574089602989</c:v>
                </c:pt>
                <c:pt idx="43" formatCode="0.00">
                  <c:v>107.2</c:v>
                </c:pt>
                <c:pt idx="44" formatCode="0.000">
                  <c:v>3.5244809122837541E-2</c:v>
                </c:pt>
                <c:pt idx="48" formatCode="0">
                  <c:v>601.67109424908745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98.377501192386333</c:v>
                </c:pt>
                <c:pt idx="54" formatCode="0">
                  <c:v>222.41869834800389</c:v>
                </c:pt>
                <c:pt idx="55" formatCode="0">
                  <c:v>18.53489152900033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2817.3035124080502</c:v>
                </c:pt>
                <c:pt idx="60" formatCode="0">
                  <c:v>0</c:v>
                </c:pt>
                <c:pt idx="61" formatCode="0.00">
                  <c:v>10918.119205191737</c:v>
                </c:pt>
                <c:pt idx="63" formatCode="0.0">
                  <c:v>337.5174956184182</c:v>
                </c:pt>
                <c:pt idx="64">
                  <c:v>0</c:v>
                </c:pt>
                <c:pt idx="65">
                  <c:v>51914.124986964503</c:v>
                </c:pt>
                <c:pt idx="66" formatCode="0.00">
                  <c:v>389.20741622913715</c:v>
                </c:pt>
                <c:pt idx="67" formatCode="0.00">
                  <c:v>5120.2964638820149</c:v>
                </c:pt>
                <c:pt idx="68" formatCode="0.00">
                  <c:v>32.370787175364043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1292.0238646941825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113.32512079279886</c:v>
                </c:pt>
                <c:pt idx="78" formatCode="0.00">
                  <c:v>8.8271225080072107</c:v>
                </c:pt>
                <c:pt idx="79" formatCode="0.00">
                  <c:v>279.23948746998138</c:v>
                </c:pt>
                <c:pt idx="83">
                  <c:v>566826.90205563081</c:v>
                </c:pt>
                <c:pt idx="84">
                  <c:v>116677.92124080929</c:v>
                </c:pt>
                <c:pt idx="85">
                  <c:v>28590.934472018202</c:v>
                </c:pt>
                <c:pt idx="87">
                  <c:v>7170.1022160441289</c:v>
                </c:pt>
                <c:pt idx="89">
                  <c:v>21420.832255974077</c:v>
                </c:pt>
                <c:pt idx="90">
                  <c:v>31869.452940238658</c:v>
                </c:pt>
                <c:pt idx="91">
                  <c:v>7659.4498176012894</c:v>
                </c:pt>
                <c:pt idx="92">
                  <c:v>24204.480012010321</c:v>
                </c:pt>
                <c:pt idx="93" formatCode="0.0">
                  <c:v>5.523110627056024</c:v>
                </c:pt>
                <c:pt idx="95">
                  <c:v>6095.304888019029</c:v>
                </c:pt>
                <c:pt idx="96">
                  <c:v>37151.755943955046</c:v>
                </c:pt>
                <c:pt idx="97">
                  <c:v>6267.6259395831739</c:v>
                </c:pt>
                <c:pt idx="100">
                  <c:v>3271.8907354679877</c:v>
                </c:pt>
                <c:pt idx="102">
                  <c:v>27612.239268903886</c:v>
                </c:pt>
                <c:pt idx="103">
                  <c:v>412997.22487086663</c:v>
                </c:pt>
                <c:pt idx="104">
                  <c:v>47491.019037803933</c:v>
                </c:pt>
                <c:pt idx="105">
                  <c:v>342229.60840639775</c:v>
                </c:pt>
                <c:pt idx="107">
                  <c:v>23276.597426664903</c:v>
                </c:pt>
                <c:pt idx="109">
                  <c:v>566826.90205563081</c:v>
                </c:pt>
                <c:pt idx="110">
                  <c:v>36616.014213130606</c:v>
                </c:pt>
                <c:pt idx="111">
                  <c:v>2855.4481941879626</c:v>
                </c:pt>
                <c:pt idx="113">
                  <c:v>40614.746307119174</c:v>
                </c:pt>
                <c:pt idx="114">
                  <c:v>1387.4053895164723</c:v>
                </c:pt>
                <c:pt idx="115">
                  <c:v>447206.26747272623</c:v>
                </c:pt>
                <c:pt idx="116">
                  <c:v>16603.575167055813</c:v>
                </c:pt>
                <c:pt idx="118">
                  <c:v>15849.118255399961</c:v>
                </c:pt>
                <c:pt idx="120">
                  <c:v>14843.912121275764</c:v>
                </c:pt>
                <c:pt idx="122">
                  <c:v>1005.2061341241963</c:v>
                </c:pt>
                <c:pt idx="123">
                  <c:v>4458.2548981596219</c:v>
                </c:pt>
                <c:pt idx="126">
                  <c:v>0</c:v>
                </c:pt>
                <c:pt idx="128" formatCode="0.00">
                  <c:v>4197.211494644408</c:v>
                </c:pt>
                <c:pt idx="130" formatCode="0.00">
                  <c:v>247.10473854928415</c:v>
                </c:pt>
                <c:pt idx="131" formatCode="0.00">
                  <c:v>1970.7838293637496</c:v>
                </c:pt>
                <c:pt idx="132" formatCode="0.00">
                  <c:v>1636.1536661979617</c:v>
                </c:pt>
                <c:pt idx="133" formatCode="0.00">
                  <c:v>1500.2085454035719</c:v>
                </c:pt>
                <c:pt idx="134" formatCode="0.00">
                  <c:v>135.96323128721582</c:v>
                </c:pt>
                <c:pt idx="135" formatCode="0.00">
                  <c:v>252.76168034425865</c:v>
                </c:pt>
                <c:pt idx="136" formatCode="0">
                  <c:v>0</c:v>
                </c:pt>
                <c:pt idx="137" formatCode="0.00">
                  <c:v>90.392056909589471</c:v>
                </c:pt>
                <c:pt idx="138" formatCode="0.00">
                  <c:v>7319.2263151075758</c:v>
                </c:pt>
                <c:pt idx="139" formatCode="0.00">
                  <c:v>12675.683987533699</c:v>
                </c:pt>
                <c:pt idx="141" formatCode="0.00">
                  <c:v>327.15311684176504</c:v>
                </c:pt>
                <c:pt idx="142" formatCode="0.00">
                  <c:v>11560.833095702528</c:v>
                </c:pt>
                <c:pt idx="143" formatCode="0.00">
                  <c:v>657.79638437249469</c:v>
                </c:pt>
                <c:pt idx="145" formatCode="0.00">
                  <c:v>-8478.4724928892902</c:v>
                </c:pt>
                <c:pt idx="147" formatCode="0">
                  <c:v>29011.581242457883</c:v>
                </c:pt>
                <c:pt idx="148" formatCode="0">
                  <c:v>21125.388710603722</c:v>
                </c:pt>
                <c:pt idx="150" formatCode="0">
                  <c:v>5696.1568685686125</c:v>
                </c:pt>
                <c:pt idx="151" formatCode="0">
                  <c:v>0</c:v>
                </c:pt>
                <c:pt idx="152" formatCode="0">
                  <c:v>2990.9091409786847</c:v>
                </c:pt>
                <c:pt idx="153" formatCode="0">
                  <c:v>0</c:v>
                </c:pt>
                <c:pt idx="154" formatCode="0">
                  <c:v>2712.0762872725295</c:v>
                </c:pt>
                <c:pt idx="155" formatCode="0">
                  <c:v>0</c:v>
                </c:pt>
                <c:pt idx="156" formatCode="0">
                  <c:v>1280.3549404874504</c:v>
                </c:pt>
                <c:pt idx="157" formatCode="0">
                  <c:v>761.38440460987056</c:v>
                </c:pt>
                <c:pt idx="158" formatCode="0">
                  <c:v>0</c:v>
                </c:pt>
                <c:pt idx="159" formatCode="0">
                  <c:v>846.74140064236747</c:v>
                </c:pt>
                <c:pt idx="160" formatCode="0">
                  <c:v>96.737928836829553</c:v>
                </c:pt>
                <c:pt idx="161" formatCode="0">
                  <c:v>111.53314148246234</c:v>
                </c:pt>
                <c:pt idx="162" formatCode="0">
                  <c:v>999.24590022042776</c:v>
                </c:pt>
                <c:pt idx="163" formatCode="0">
                  <c:v>1787.9445435606974</c:v>
                </c:pt>
                <c:pt idx="164" formatCode="0">
                  <c:v>1890.3729387996937</c:v>
                </c:pt>
                <c:pt idx="165" formatCode="0">
                  <c:v>768.21296429247059</c:v>
                </c:pt>
                <c:pt idx="166" formatCode="0">
                  <c:v>8435.5473945715403</c:v>
                </c:pt>
                <c:pt idx="167">
                  <c:v>1607.787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2316.0198256817434</c:v>
                </c:pt>
                <c:pt idx="173" formatCode="0">
                  <c:v>6608.9076794761131</c:v>
                </c:pt>
                <c:pt idx="176" formatCode="0.00">
                  <c:v>81.887117915277528</c:v>
                </c:pt>
                <c:pt idx="178" formatCode="0.00">
                  <c:v>89.024564104608245</c:v>
                </c:pt>
                <c:pt idx="179" formatCode="0.00">
                  <c:v>145.10302968231423</c:v>
                </c:pt>
                <c:pt idx="180" formatCode="0.00">
                  <c:v>29.160802100407111</c:v>
                </c:pt>
                <c:pt idx="181" formatCode="0.00">
                  <c:v>29.160802100407111</c:v>
                </c:pt>
                <c:pt idx="182" formatCode="0.00">
                  <c:v>29.160802100407111</c:v>
                </c:pt>
                <c:pt idx="183" formatCode="0.00">
                  <c:v>0.14019616394426496</c:v>
                </c:pt>
                <c:pt idx="185" formatCode="0.00">
                  <c:v>2.1182988430829397</c:v>
                </c:pt>
                <c:pt idx="186" formatCode="0.00">
                  <c:v>11003.897149250733</c:v>
                </c:pt>
                <c:pt idx="190" formatCode="0.00">
                  <c:v>11003.897149250733</c:v>
                </c:pt>
                <c:pt idx="192">
                  <c:v>20</c:v>
                </c:pt>
                <c:pt idx="193" formatCode="0.00">
                  <c:v>71361.302472265859</c:v>
                </c:pt>
                <c:pt idx="194" formatCode="0.00">
                  <c:v>81.92949587346277</c:v>
                </c:pt>
                <c:pt idx="195">
                  <c:v>16024.639881183468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ser>
          <c:idx val="16"/>
          <c:order val="16"/>
          <c:val>
            <c:numRef>
              <c:f>Лист1!$Q$41:$Q$249</c:f>
              <c:numCache>
                <c:formatCode>General</c:formatCode>
                <c:ptCount val="205"/>
                <c:pt idx="0" formatCode="0.0">
                  <c:v>2</c:v>
                </c:pt>
                <c:pt idx="1">
                  <c:v>0</c:v>
                </c:pt>
                <c:pt idx="2">
                  <c:v>2.7</c:v>
                </c:pt>
                <c:pt idx="4">
                  <c:v>24692.622340116664</c:v>
                </c:pt>
                <c:pt idx="5">
                  <c:v>103</c:v>
                </c:pt>
                <c:pt idx="6">
                  <c:v>12572.705965225252</c:v>
                </c:pt>
                <c:pt idx="7">
                  <c:v>104</c:v>
                </c:pt>
                <c:pt idx="8" formatCode="0.00">
                  <c:v>53.055976253090094</c:v>
                </c:pt>
                <c:pt idx="9" formatCode="0.00">
                  <c:v>106.3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930.45155960744853</c:v>
                </c:pt>
                <c:pt idx="13" formatCode="0.00">
                  <c:v>103</c:v>
                </c:pt>
                <c:pt idx="14">
                  <c:v>106.7</c:v>
                </c:pt>
                <c:pt idx="17" formatCode="0.00">
                  <c:v>3226.1933076605519</c:v>
                </c:pt>
                <c:pt idx="18" formatCode="0.00">
                  <c:v>103</c:v>
                </c:pt>
                <c:pt idx="19">
                  <c:v>104.9</c:v>
                </c:pt>
                <c:pt idx="20">
                  <c:v>2209.1705938108898</c:v>
                </c:pt>
                <c:pt idx="21">
                  <c:v>107.10000000000002</c:v>
                </c:pt>
                <c:pt idx="22">
                  <c:v>104.9</c:v>
                </c:pt>
                <c:pt idx="23" formatCode="0.00">
                  <c:v>367.42435047796005</c:v>
                </c:pt>
                <c:pt idx="24" formatCode="0.00">
                  <c:v>102.1</c:v>
                </c:pt>
                <c:pt idx="25">
                  <c:v>107.6</c:v>
                </c:pt>
                <c:pt idx="26" formatCode="0.00">
                  <c:v>491.5711918324285</c:v>
                </c:pt>
                <c:pt idx="28" formatCode="0.00">
                  <c:v>19.94198293248979</c:v>
                </c:pt>
                <c:pt idx="29" formatCode="0.00">
                  <c:v>103</c:v>
                </c:pt>
                <c:pt idx="30" formatCode="0.00">
                  <c:v>15.07059626595259</c:v>
                </c:pt>
                <c:pt idx="31" formatCode="0.00">
                  <c:v>106</c:v>
                </c:pt>
                <c:pt idx="32">
                  <c:v>0</c:v>
                </c:pt>
                <c:pt idx="33">
                  <c:v>0</c:v>
                </c:pt>
                <c:pt idx="34" formatCode="0.00">
                  <c:v>449.2455084110714</c:v>
                </c:pt>
                <c:pt idx="35" formatCode="0.00">
                  <c:v>107.99999999999999</c:v>
                </c:pt>
                <c:pt idx="36">
                  <c:v>0</c:v>
                </c:pt>
                <c:pt idx="38" formatCode="0.00">
                  <c:v>4.6756261127596348</c:v>
                </c:pt>
                <c:pt idx="39" formatCode="0.00">
                  <c:v>102.90000000000002</c:v>
                </c:pt>
                <c:pt idx="40" formatCode="0.000">
                  <c:v>0.12657873840075914</c:v>
                </c:pt>
                <c:pt idx="41" formatCode="0.00">
                  <c:v>112.00000000000001</c:v>
                </c:pt>
                <c:pt idx="42" formatCode="0.00">
                  <c:v>2.4745972183577658</c:v>
                </c:pt>
                <c:pt idx="43" formatCode="0.00">
                  <c:v>108.90000000000002</c:v>
                </c:pt>
                <c:pt idx="44" formatCode="0.000">
                  <c:v>3.6302153396522666E-2</c:v>
                </c:pt>
                <c:pt idx="48" formatCode="0">
                  <c:v>619.72122707656013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101.32882622815792</c:v>
                </c:pt>
                <c:pt idx="54" formatCode="0">
                  <c:v>229.09125929844402</c:v>
                </c:pt>
                <c:pt idx="55" formatCode="0">
                  <c:v>19.090938274870339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2901.8226177802917</c:v>
                </c:pt>
                <c:pt idx="60" formatCode="0">
                  <c:v>0</c:v>
                </c:pt>
                <c:pt idx="61" formatCode="0.00">
                  <c:v>11027.300397243653</c:v>
                </c:pt>
                <c:pt idx="63" formatCode="0.0">
                  <c:v>340.89267057460239</c:v>
                </c:pt>
                <c:pt idx="64">
                  <c:v>0</c:v>
                </c:pt>
                <c:pt idx="65">
                  <c:v>52433.266236834141</c:v>
                </c:pt>
                <c:pt idx="66" formatCode="0.00">
                  <c:v>393.09949039142856</c:v>
                </c:pt>
                <c:pt idx="67" formatCode="0.00">
                  <c:v>5171.499428520835</c:v>
                </c:pt>
                <c:pt idx="68" formatCode="0.00">
                  <c:v>32.694495047117684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 formatCode="0.00">
                  <c:v>1317.8643419880661</c:v>
                </c:pt>
                <c:pt idx="74" formatCode="0.0">
                  <c:v>102</c:v>
                </c:pt>
                <c:pt idx="75">
                  <c:v>106.2</c:v>
                </c:pt>
                <c:pt idx="77" formatCode="0.00">
                  <c:v>115.36497296706922</c:v>
                </c:pt>
                <c:pt idx="78" formatCode="0.00">
                  <c:v>8.9860107131513409</c:v>
                </c:pt>
                <c:pt idx="79" formatCode="0.00">
                  <c:v>290.40906696878062</c:v>
                </c:pt>
                <c:pt idx="83">
                  <c:v>572495.17107618717</c:v>
                </c:pt>
                <c:pt idx="84">
                  <c:v>117844.70045321739</c:v>
                </c:pt>
                <c:pt idx="85">
                  <c:v>28876.843816738387</c:v>
                </c:pt>
                <c:pt idx="87">
                  <c:v>7241.8032382045694</c:v>
                </c:pt>
                <c:pt idx="89">
                  <c:v>21635.040578533815</c:v>
                </c:pt>
                <c:pt idx="90">
                  <c:v>32188.147469641044</c:v>
                </c:pt>
                <c:pt idx="91">
                  <c:v>7736.0443157773025</c:v>
                </c:pt>
                <c:pt idx="92">
                  <c:v>24446.524812130425</c:v>
                </c:pt>
                <c:pt idx="93" formatCode="0.0">
                  <c:v>5.5783417333265843</c:v>
                </c:pt>
                <c:pt idx="95">
                  <c:v>6156.2579368992192</c:v>
                </c:pt>
                <c:pt idx="96">
                  <c:v>37523.273503394594</c:v>
                </c:pt>
                <c:pt idx="97">
                  <c:v>6330.3021989790059</c:v>
                </c:pt>
                <c:pt idx="100">
                  <c:v>3304.6096428226674</c:v>
                </c:pt>
                <c:pt idx="102">
                  <c:v>27888.361661592928</c:v>
                </c:pt>
                <c:pt idx="103">
                  <c:v>417127.19711957528</c:v>
                </c:pt>
                <c:pt idx="104">
                  <c:v>47965.929228181973</c:v>
                </c:pt>
                <c:pt idx="105">
                  <c:v>345651.90449046175</c:v>
                </c:pt>
                <c:pt idx="107">
                  <c:v>23509.363400931554</c:v>
                </c:pt>
                <c:pt idx="109">
                  <c:v>572495.17107618717</c:v>
                </c:pt>
                <c:pt idx="110">
                  <c:v>36982.174355261915</c:v>
                </c:pt>
                <c:pt idx="111">
                  <c:v>2884.0026761298423</c:v>
                </c:pt>
                <c:pt idx="113">
                  <c:v>41020.893770190363</c:v>
                </c:pt>
                <c:pt idx="114">
                  <c:v>1401.279443411637</c:v>
                </c:pt>
                <c:pt idx="115">
                  <c:v>451678.33014745347</c:v>
                </c:pt>
                <c:pt idx="116">
                  <c:v>16769.610918726372</c:v>
                </c:pt>
                <c:pt idx="118">
                  <c:v>16007.609437953961</c:v>
                </c:pt>
                <c:pt idx="120">
                  <c:v>14992.351242488519</c:v>
                </c:pt>
                <c:pt idx="122">
                  <c:v>1015.2581954654383</c:v>
                </c:pt>
                <c:pt idx="123">
                  <c:v>4502.837447141218</c:v>
                </c:pt>
                <c:pt idx="126">
                  <c:v>0</c:v>
                </c:pt>
                <c:pt idx="128" formatCode="0.00">
                  <c:v>4281.155724537296</c:v>
                </c:pt>
                <c:pt idx="130" formatCode="0.00">
                  <c:v>252.04683332026983</c:v>
                </c:pt>
                <c:pt idx="131" formatCode="0.00">
                  <c:v>2010.1995059510248</c:v>
                </c:pt>
                <c:pt idx="132" formatCode="0.00">
                  <c:v>1668.8767395219211</c:v>
                </c:pt>
                <c:pt idx="133" formatCode="0.00">
                  <c:v>1530.2127163116434</c:v>
                </c:pt>
                <c:pt idx="134" formatCode="0.00">
                  <c:v>138.68249591296012</c:v>
                </c:pt>
                <c:pt idx="135" formatCode="0.00">
                  <c:v>257.81691395114382</c:v>
                </c:pt>
                <c:pt idx="136" formatCode="0">
                  <c:v>0</c:v>
                </c:pt>
                <c:pt idx="137" formatCode="0.00">
                  <c:v>92.199898047781261</c:v>
                </c:pt>
                <c:pt idx="138" formatCode="0.00">
                  <c:v>7465.6108414097271</c:v>
                </c:pt>
                <c:pt idx="139" formatCode="0.00">
                  <c:v>12929.197667284372</c:v>
                </c:pt>
                <c:pt idx="141" formatCode="0.00">
                  <c:v>333.69617917860035</c:v>
                </c:pt>
                <c:pt idx="142" formatCode="0.00">
                  <c:v>11792.049757616578</c:v>
                </c:pt>
                <c:pt idx="143" formatCode="0.00">
                  <c:v>670.95231205994457</c:v>
                </c:pt>
                <c:pt idx="145" formatCode="0.00">
                  <c:v>-8648.041942747077</c:v>
                </c:pt>
                <c:pt idx="147" formatCode="0">
                  <c:v>29649.836029791957</c:v>
                </c:pt>
                <c:pt idx="148" formatCode="0">
                  <c:v>21590.147262237002</c:v>
                </c:pt>
                <c:pt idx="150" formatCode="0">
                  <c:v>5753.1184372542984</c:v>
                </c:pt>
                <c:pt idx="151" formatCode="0">
                  <c:v>0</c:v>
                </c:pt>
                <c:pt idx="152" formatCode="0">
                  <c:v>3020.8182323884712</c:v>
                </c:pt>
                <c:pt idx="153" formatCode="0">
                  <c:v>0</c:v>
                </c:pt>
                <c:pt idx="154" formatCode="0">
                  <c:v>2739.1970501452552</c:v>
                </c:pt>
                <c:pt idx="155" formatCode="0">
                  <c:v>0</c:v>
                </c:pt>
                <c:pt idx="156" formatCode="0">
                  <c:v>1293.158489892325</c:v>
                </c:pt>
                <c:pt idx="157" formatCode="0">
                  <c:v>768.99824865596918</c:v>
                </c:pt>
                <c:pt idx="158" formatCode="0">
                  <c:v>0</c:v>
                </c:pt>
                <c:pt idx="159" formatCode="0">
                  <c:v>855.20881464879119</c:v>
                </c:pt>
                <c:pt idx="160" formatCode="0">
                  <c:v>97.705308125197845</c:v>
                </c:pt>
                <c:pt idx="161" formatCode="0">
                  <c:v>112.64847289728695</c:v>
                </c:pt>
                <c:pt idx="162" formatCode="0">
                  <c:v>1009.238359222632</c:v>
                </c:pt>
                <c:pt idx="163" formatCode="0">
                  <c:v>1805.8239889963045</c:v>
                </c:pt>
                <c:pt idx="164" formatCode="0">
                  <c:v>1909.2766681876906</c:v>
                </c:pt>
                <c:pt idx="165" formatCode="0">
                  <c:v>775.89509393539527</c:v>
                </c:pt>
                <c:pt idx="166" formatCode="0">
                  <c:v>8519.9028685172561</c:v>
                </c:pt>
                <c:pt idx="167">
                  <c:v>1608.787</c:v>
                </c:pt>
                <c:pt idx="168">
                  <c:v>1595.787</c:v>
                </c:pt>
                <c:pt idx="169">
                  <c:v>0</c:v>
                </c:pt>
                <c:pt idx="171" formatCode="0">
                  <c:v>2339.1800239385611</c:v>
                </c:pt>
                <c:pt idx="173" formatCode="0">
                  <c:v>6674.9967562708744</c:v>
                </c:pt>
                <c:pt idx="176" formatCode="0.00">
                  <c:v>81.969005033192801</c:v>
                </c:pt>
                <c:pt idx="178" formatCode="0.00">
                  <c:v>87.450455898436402</c:v>
                </c:pt>
                <c:pt idx="179" formatCode="0.00">
                  <c:v>142.53735725178217</c:v>
                </c:pt>
                <c:pt idx="180" formatCode="0.00">
                  <c:v>28.645188703739798</c:v>
                </c:pt>
                <c:pt idx="181" formatCode="0.00">
                  <c:v>28.645188703739798</c:v>
                </c:pt>
                <c:pt idx="182" formatCode="0.00">
                  <c:v>28.645188703739798</c:v>
                </c:pt>
                <c:pt idx="183" formatCode="0.00">
                  <c:v>0.13771725338336441</c:v>
                </c:pt>
                <c:pt idx="185" formatCode="0.00">
                  <c:v>2.1182988430829397</c:v>
                </c:pt>
                <c:pt idx="186" formatCode="0.00">
                  <c:v>11113.936120743241</c:v>
                </c:pt>
                <c:pt idx="190" formatCode="0.00">
                  <c:v>11113.936120743241</c:v>
                </c:pt>
                <c:pt idx="192">
                  <c:v>20.100000000000001</c:v>
                </c:pt>
                <c:pt idx="193" formatCode="0.00">
                  <c:v>72788.528521711181</c:v>
                </c:pt>
                <c:pt idx="194" formatCode="0.00">
                  <c:v>84.387380749666647</c:v>
                </c:pt>
                <c:pt idx="195">
                  <c:v>16505.379077618971</c:v>
                </c:pt>
                <c:pt idx="196">
                  <c:v>30</c:v>
                </c:pt>
                <c:pt idx="198">
                  <c:v>24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val>
        </c:ser>
        <c:axId val="86379904"/>
        <c:axId val="86393984"/>
      </c:barChart>
      <c:catAx>
        <c:axId val="86379904"/>
        <c:scaling>
          <c:orientation val="minMax"/>
        </c:scaling>
        <c:axPos val="b"/>
        <c:tickLblPos val="nextTo"/>
        <c:crossAx val="86393984"/>
        <c:crosses val="autoZero"/>
        <c:auto val="1"/>
        <c:lblAlgn val="ctr"/>
        <c:lblOffset val="100"/>
      </c:catAx>
      <c:valAx>
        <c:axId val="86393984"/>
        <c:scaling>
          <c:orientation val="minMax"/>
        </c:scaling>
        <c:axPos val="l"/>
        <c:majorGridlines/>
        <c:numFmt formatCode="General" sourceLinked="1"/>
        <c:tickLblPos val="nextTo"/>
        <c:crossAx val="8637990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452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9"/>
  <sheetViews>
    <sheetView tabSelected="1" zoomScale="70" zoomScaleNormal="70" workbookViewId="0">
      <pane ySplit="9" topLeftCell="A85" activePane="bottomLeft" state="frozen"/>
      <selection pane="bottomLeft" activeCell="C14" sqref="C14"/>
    </sheetView>
  </sheetViews>
  <sheetFormatPr defaultRowHeight="15"/>
  <cols>
    <col min="1" max="1" width="29.28515625" style="43" customWidth="1"/>
    <col min="2" max="2" width="8.140625" style="8" customWidth="1"/>
    <col min="3" max="3" width="9.7109375" style="50" customWidth="1"/>
    <col min="4" max="4" width="9.28515625" style="50" bestFit="1" customWidth="1"/>
    <col min="5" max="5" width="11.5703125" style="50" bestFit="1" customWidth="1"/>
    <col min="6" max="6" width="9.28515625" style="50" customWidth="1"/>
    <col min="7" max="11" width="9.28515625" style="50" bestFit="1" customWidth="1"/>
    <col min="12" max="12" width="11.140625" style="50" bestFit="1" customWidth="1"/>
    <col min="13" max="17" width="9.28515625" style="50" bestFit="1" customWidth="1"/>
  </cols>
  <sheetData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>
      <c r="A4" s="73" t="s">
        <v>0</v>
      </c>
      <c r="B4" s="73" t="s">
        <v>1</v>
      </c>
      <c r="C4" s="73" t="s">
        <v>220</v>
      </c>
      <c r="D4" s="73" t="s">
        <v>221</v>
      </c>
      <c r="E4" s="73" t="s">
        <v>222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>
      <c r="A7" s="73"/>
      <c r="B7" s="73"/>
      <c r="C7" s="73"/>
      <c r="D7" s="73"/>
      <c r="E7" s="73">
        <v>2016</v>
      </c>
      <c r="F7" s="73">
        <v>2017</v>
      </c>
      <c r="G7" s="73">
        <v>2018</v>
      </c>
      <c r="H7" s="73">
        <v>2019</v>
      </c>
      <c r="I7" s="73">
        <v>2020</v>
      </c>
      <c r="J7" s="73">
        <v>2021</v>
      </c>
      <c r="K7" s="73">
        <v>2022</v>
      </c>
      <c r="L7" s="73">
        <v>2023</v>
      </c>
      <c r="M7" s="73">
        <v>2024</v>
      </c>
      <c r="N7" s="73">
        <v>2025</v>
      </c>
      <c r="O7" s="73">
        <v>2026</v>
      </c>
      <c r="P7" s="73">
        <v>2027</v>
      </c>
      <c r="Q7" s="73">
        <v>2028</v>
      </c>
    </row>
    <row r="8" spans="1:17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22.5">
      <c r="A10" s="21" t="s">
        <v>2</v>
      </c>
      <c r="B10" s="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ht="24">
      <c r="A11" s="22" t="s">
        <v>3</v>
      </c>
      <c r="B11" s="4" t="s">
        <v>4</v>
      </c>
      <c r="C11" s="44">
        <v>45200</v>
      </c>
      <c r="D11" s="45">
        <f>SUM(C11*110/100)</f>
        <v>49720</v>
      </c>
      <c r="E11" s="45">
        <f>SUM(D11*102/100)</f>
        <v>50714.400000000001</v>
      </c>
      <c r="F11" s="45">
        <f>SUM(E11*102.3/100)</f>
        <v>51880.831200000001</v>
      </c>
      <c r="G11" s="45">
        <f>SUM(F11*102.5/100)</f>
        <v>53177.851979999999</v>
      </c>
      <c r="H11" s="45">
        <f>SUM(G11*102.8/100)</f>
        <v>54666.831835439996</v>
      </c>
      <c r="I11" s="45">
        <f>SUM(H11*101.9/100)</f>
        <v>55705.501640313363</v>
      </c>
      <c r="J11" s="45">
        <f t="shared" ref="J11:N11" si="0">SUM(I11*102/100)</f>
        <v>56819.611673119623</v>
      </c>
      <c r="K11" s="45">
        <f>SUM(J11*102.9/100)</f>
        <v>58467.380411640101</v>
      </c>
      <c r="L11" s="45">
        <f t="shared" si="0"/>
        <v>59636.728019872906</v>
      </c>
      <c r="M11" s="45">
        <f>SUM(L11*102.5/100)</f>
        <v>61127.64622036973</v>
      </c>
      <c r="N11" s="45">
        <f t="shared" si="0"/>
        <v>62350.199144777122</v>
      </c>
      <c r="O11" s="45">
        <f>SUM(N11*110/100)</f>
        <v>68585.219059254829</v>
      </c>
      <c r="P11" s="45">
        <f>SUM(O11*104/100)</f>
        <v>71328.627821625021</v>
      </c>
      <c r="Q11" s="45">
        <f>SUM(P11*101.8/100)</f>
        <v>72612.543122414267</v>
      </c>
    </row>
    <row r="12" spans="1:17" ht="46.5">
      <c r="A12" s="23"/>
      <c r="B12" s="5" t="s">
        <v>5</v>
      </c>
      <c r="C12" s="67">
        <v>101.54</v>
      </c>
      <c r="D12" s="52">
        <f>SUM(D11/C11*100)</f>
        <v>110.00000000000001</v>
      </c>
      <c r="E12" s="52">
        <f t="shared" ref="E12:Q12" si="1">SUM(E11/D11*100)</f>
        <v>102</v>
      </c>
      <c r="F12" s="52">
        <f t="shared" si="1"/>
        <v>102.3</v>
      </c>
      <c r="G12" s="52">
        <f t="shared" si="1"/>
        <v>102.49999999999999</v>
      </c>
      <c r="H12" s="52">
        <f t="shared" si="1"/>
        <v>102.8</v>
      </c>
      <c r="I12" s="52">
        <f t="shared" si="1"/>
        <v>101.9</v>
      </c>
      <c r="J12" s="52">
        <f t="shared" si="1"/>
        <v>101.99999999999999</v>
      </c>
      <c r="K12" s="52">
        <f t="shared" si="1"/>
        <v>102.90000000000002</v>
      </c>
      <c r="L12" s="52">
        <f t="shared" si="1"/>
        <v>102</v>
      </c>
      <c r="M12" s="52">
        <f t="shared" si="1"/>
        <v>102.50000000000001</v>
      </c>
      <c r="N12" s="52">
        <f t="shared" si="1"/>
        <v>102</v>
      </c>
      <c r="O12" s="52">
        <f t="shared" si="1"/>
        <v>109.99999999999999</v>
      </c>
      <c r="P12" s="52">
        <f t="shared" si="1"/>
        <v>104</v>
      </c>
      <c r="Q12" s="52">
        <f t="shared" si="1"/>
        <v>101.8</v>
      </c>
    </row>
    <row r="13" spans="1:17" ht="30" customHeight="1">
      <c r="A13" s="21" t="s">
        <v>6</v>
      </c>
      <c r="B13" s="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30.6" customHeight="1">
      <c r="A14" s="24" t="s">
        <v>7</v>
      </c>
      <c r="B14" s="6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ht="80.25">
      <c r="A15" s="25" t="s">
        <v>8</v>
      </c>
      <c r="B15" s="7" t="s">
        <v>9</v>
      </c>
      <c r="C15" s="44">
        <v>598.70000000000005</v>
      </c>
      <c r="D15" s="44">
        <f>SUM(C15*102.3/100)</f>
        <v>612.4701</v>
      </c>
      <c r="E15" s="52">
        <f t="shared" ref="E15:Q15" si="2">SUM(D15*102.3/100)</f>
        <v>626.55691230000002</v>
      </c>
      <c r="F15" s="52">
        <f t="shared" si="2"/>
        <v>640.96772128290002</v>
      </c>
      <c r="G15" s="44">
        <f t="shared" si="2"/>
        <v>655.70997887240662</v>
      </c>
      <c r="H15" s="44">
        <f t="shared" si="2"/>
        <v>670.79130838647188</v>
      </c>
      <c r="I15" s="44">
        <f t="shared" si="2"/>
        <v>686.21950847936068</v>
      </c>
      <c r="J15" s="44">
        <f t="shared" si="2"/>
        <v>702.00255717438597</v>
      </c>
      <c r="K15" s="52">
        <f t="shared" si="2"/>
        <v>718.14861598939683</v>
      </c>
      <c r="L15" s="52">
        <f t="shared" si="2"/>
        <v>734.66603415715292</v>
      </c>
      <c r="M15" s="52">
        <f t="shared" si="2"/>
        <v>751.56335294276732</v>
      </c>
      <c r="N15" s="52">
        <f t="shared" si="2"/>
        <v>768.84931006045099</v>
      </c>
      <c r="O15" s="52">
        <f t="shared" si="2"/>
        <v>786.53284419184126</v>
      </c>
      <c r="P15" s="52">
        <f t="shared" si="2"/>
        <v>804.6230996082536</v>
      </c>
      <c r="Q15" s="52">
        <f t="shared" si="2"/>
        <v>823.1294308992434</v>
      </c>
    </row>
    <row r="16" spans="1:17" ht="42.6" customHeight="1">
      <c r="A16" s="21" t="s">
        <v>10</v>
      </c>
      <c r="B16" s="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46.5" hidden="1">
      <c r="A17" s="26" t="s">
        <v>11</v>
      </c>
      <c r="B17" s="5" t="s">
        <v>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ht="29.45" customHeight="1">
      <c r="A18" s="21" t="s">
        <v>12</v>
      </c>
      <c r="B18" s="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ht="45">
      <c r="A19" s="26" t="s">
        <v>13</v>
      </c>
      <c r="B19" s="5" t="s">
        <v>14</v>
      </c>
      <c r="C19" s="51">
        <v>345.07</v>
      </c>
      <c r="D19" s="51">
        <f>SUM(C19*103/100)</f>
        <v>355.4221</v>
      </c>
      <c r="E19" s="52">
        <f>SUM(D19*102.5/100)</f>
        <v>364.30765249999996</v>
      </c>
      <c r="F19" s="52">
        <f>SUM(E19*102.8/100)</f>
        <v>374.50826676999998</v>
      </c>
      <c r="G19" s="52">
        <f t="shared" ref="G19:Q19" si="3">SUM(F19*102/100)</f>
        <v>381.99843210540001</v>
      </c>
      <c r="H19" s="52">
        <f>SUM(G19*101.8/100)</f>
        <v>388.87440388329719</v>
      </c>
      <c r="I19" s="52">
        <f t="shared" si="3"/>
        <v>396.6518919609631</v>
      </c>
      <c r="J19" s="52">
        <f>SUM(I19*101.5/100)</f>
        <v>402.60167034037755</v>
      </c>
      <c r="K19" s="52">
        <f t="shared" si="3"/>
        <v>410.65370374718515</v>
      </c>
      <c r="L19" s="52">
        <f t="shared" si="3"/>
        <v>418.86677782212888</v>
      </c>
      <c r="M19" s="52">
        <f t="shared" si="3"/>
        <v>427.24411337857151</v>
      </c>
      <c r="N19" s="52">
        <f t="shared" si="3"/>
        <v>435.78899564614295</v>
      </c>
      <c r="O19" s="52">
        <f t="shared" si="3"/>
        <v>444.50477555906582</v>
      </c>
      <c r="P19" s="52">
        <f t="shared" si="3"/>
        <v>453.39487107024718</v>
      </c>
      <c r="Q19" s="52">
        <f t="shared" si="3"/>
        <v>462.46276849165207</v>
      </c>
    </row>
    <row r="20" spans="1:17" ht="46.5">
      <c r="A20" s="26" t="s">
        <v>15</v>
      </c>
      <c r="B20" s="5" t="s">
        <v>5</v>
      </c>
      <c r="C20" s="54">
        <v>114.01</v>
      </c>
      <c r="D20" s="45">
        <f>SUM(D19/C19*100)</f>
        <v>103</v>
      </c>
      <c r="E20" s="49">
        <f t="shared" ref="E20:Q20" si="4">SUM(E19/D19*100)</f>
        <v>102.49999999999999</v>
      </c>
      <c r="F20" s="49">
        <f t="shared" si="4"/>
        <v>102.8</v>
      </c>
      <c r="G20" s="49">
        <f t="shared" si="4"/>
        <v>102</v>
      </c>
      <c r="H20" s="49">
        <f t="shared" si="4"/>
        <v>101.8</v>
      </c>
      <c r="I20" s="49">
        <f t="shared" si="4"/>
        <v>101.99999999999999</v>
      </c>
      <c r="J20" s="49">
        <f t="shared" si="4"/>
        <v>101.50000000000001</v>
      </c>
      <c r="K20" s="49">
        <f t="shared" si="4"/>
        <v>102</v>
      </c>
      <c r="L20" s="49">
        <f t="shared" si="4"/>
        <v>102</v>
      </c>
      <c r="M20" s="49">
        <f t="shared" si="4"/>
        <v>102</v>
      </c>
      <c r="N20" s="49">
        <f t="shared" si="4"/>
        <v>102</v>
      </c>
      <c r="O20" s="45">
        <f t="shared" si="4"/>
        <v>102</v>
      </c>
      <c r="P20" s="45">
        <f t="shared" si="4"/>
        <v>102</v>
      </c>
      <c r="Q20" s="45">
        <f t="shared" si="4"/>
        <v>101.99999999999999</v>
      </c>
    </row>
    <row r="21" spans="1:17" s="55" customFormat="1" ht="46.5">
      <c r="A21" s="25" t="s">
        <v>16</v>
      </c>
      <c r="B21" s="7" t="s">
        <v>5</v>
      </c>
      <c r="C21" s="54">
        <v>111.7</v>
      </c>
      <c r="D21" s="54">
        <v>125.1</v>
      </c>
      <c r="E21" s="54">
        <v>102.8</v>
      </c>
      <c r="F21" s="54">
        <v>101.7</v>
      </c>
      <c r="G21" s="54">
        <v>102.1</v>
      </c>
      <c r="H21" s="54">
        <v>102.1</v>
      </c>
      <c r="I21" s="54">
        <v>102.1</v>
      </c>
      <c r="J21" s="54">
        <v>102.1</v>
      </c>
      <c r="K21" s="54">
        <v>102.1</v>
      </c>
      <c r="L21" s="54">
        <v>102.1</v>
      </c>
      <c r="M21" s="54">
        <v>102.1</v>
      </c>
      <c r="N21" s="54">
        <v>102.1</v>
      </c>
      <c r="O21" s="54">
        <v>102.1</v>
      </c>
      <c r="P21" s="54">
        <v>102.1</v>
      </c>
      <c r="Q21" s="54">
        <v>102.1</v>
      </c>
    </row>
    <row r="22" spans="1:17" ht="22.5">
      <c r="A22" s="21" t="s">
        <v>17</v>
      </c>
      <c r="B22" s="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45">
      <c r="A23" s="22" t="s">
        <v>13</v>
      </c>
      <c r="B23" s="4" t="s">
        <v>14</v>
      </c>
      <c r="C23" s="52">
        <v>239.887</v>
      </c>
      <c r="D23" s="52">
        <f>SUM(C23*102/100)</f>
        <v>244.68473999999998</v>
      </c>
      <c r="E23" s="52">
        <f t="shared" ref="E23:Q23" si="5">SUM(D23*102/100)</f>
        <v>249.57843479999997</v>
      </c>
      <c r="F23" s="52">
        <f>SUM(E23*102.3/100)</f>
        <v>255.31873880039996</v>
      </c>
      <c r="G23" s="52">
        <f t="shared" si="5"/>
        <v>260.42511357640797</v>
      </c>
      <c r="H23" s="52">
        <f>SUM(G23*101.8/100)</f>
        <v>265.11276562078331</v>
      </c>
      <c r="I23" s="52">
        <f t="shared" si="5"/>
        <v>270.415020933199</v>
      </c>
      <c r="J23" s="52">
        <f>SUM(I23*103.1/100)</f>
        <v>278.79788658212817</v>
      </c>
      <c r="K23" s="52">
        <f t="shared" si="5"/>
        <v>284.37384431377075</v>
      </c>
      <c r="L23" s="52">
        <f>SUM(K23*105/100)</f>
        <v>298.59253652945927</v>
      </c>
      <c r="M23" s="52">
        <f t="shared" si="5"/>
        <v>304.56438726004848</v>
      </c>
      <c r="N23" s="52">
        <f>SUM(M23*106.2/100)</f>
        <v>323.4473792701715</v>
      </c>
      <c r="O23" s="52">
        <f>SUM(N23*102.2/100)</f>
        <v>330.56322161411526</v>
      </c>
      <c r="P23" s="52">
        <f t="shared" si="5"/>
        <v>337.17448604639759</v>
      </c>
      <c r="Q23" s="52">
        <f t="shared" si="5"/>
        <v>343.91797576732557</v>
      </c>
    </row>
    <row r="24" spans="1:17" ht="46.5">
      <c r="A24" s="26" t="s">
        <v>15</v>
      </c>
      <c r="B24" s="5" t="s">
        <v>5</v>
      </c>
      <c r="C24" s="44"/>
      <c r="D24" s="52">
        <f>SUM(D23/C23*100)</f>
        <v>101.99999999999999</v>
      </c>
      <c r="E24" s="52">
        <f t="shared" ref="E24:Q24" si="6">SUM(E23/D23*100)</f>
        <v>102</v>
      </c>
      <c r="F24" s="52">
        <f t="shared" si="6"/>
        <v>102.3</v>
      </c>
      <c r="G24" s="52">
        <f t="shared" si="6"/>
        <v>102</v>
      </c>
      <c r="H24" s="52">
        <f t="shared" si="6"/>
        <v>101.8</v>
      </c>
      <c r="I24" s="52">
        <f t="shared" si="6"/>
        <v>102</v>
      </c>
      <c r="J24" s="52">
        <f t="shared" si="6"/>
        <v>103.1</v>
      </c>
      <c r="K24" s="52">
        <f t="shared" si="6"/>
        <v>102</v>
      </c>
      <c r="L24" s="52">
        <f t="shared" si="6"/>
        <v>105</v>
      </c>
      <c r="M24" s="52">
        <f t="shared" si="6"/>
        <v>102</v>
      </c>
      <c r="N24" s="52">
        <f t="shared" si="6"/>
        <v>106.2</v>
      </c>
      <c r="O24" s="52">
        <f t="shared" si="6"/>
        <v>102.2</v>
      </c>
      <c r="P24" s="52">
        <f t="shared" si="6"/>
        <v>102</v>
      </c>
      <c r="Q24" s="52">
        <f t="shared" si="6"/>
        <v>102</v>
      </c>
    </row>
    <row r="25" spans="1:17" s="55" customFormat="1" ht="46.5">
      <c r="A25" s="25" t="s">
        <v>16</v>
      </c>
      <c r="B25" s="7" t="s">
        <v>5</v>
      </c>
      <c r="C25" s="54">
        <v>85</v>
      </c>
      <c r="D25" s="54">
        <v>128.4</v>
      </c>
      <c r="E25" s="54">
        <v>102.6</v>
      </c>
      <c r="F25" s="54">
        <v>101</v>
      </c>
      <c r="G25" s="54">
        <v>100.1</v>
      </c>
      <c r="H25" s="54">
        <v>100.1</v>
      </c>
      <c r="I25" s="54">
        <v>100.1</v>
      </c>
      <c r="J25" s="54">
        <v>100.1</v>
      </c>
      <c r="K25" s="54">
        <v>100.1</v>
      </c>
      <c r="L25" s="54">
        <v>100.1</v>
      </c>
      <c r="M25" s="54">
        <v>100.1</v>
      </c>
      <c r="N25" s="54">
        <v>100.1</v>
      </c>
      <c r="O25" s="54">
        <v>100.1</v>
      </c>
      <c r="P25" s="54">
        <v>100.1</v>
      </c>
      <c r="Q25" s="54">
        <v>100.1</v>
      </c>
    </row>
    <row r="26" spans="1:17">
      <c r="A26" s="27" t="s">
        <v>18</v>
      </c>
      <c r="B26" s="7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24" customHeight="1">
      <c r="A27" s="28" t="s">
        <v>19</v>
      </c>
      <c r="B27" s="76"/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</row>
    <row r="28" spans="1:17">
      <c r="A28" s="29" t="s">
        <v>20</v>
      </c>
      <c r="B28" s="76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45">
      <c r="A29" s="26" t="s">
        <v>13</v>
      </c>
      <c r="B29" s="5" t="s">
        <v>14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</row>
    <row r="30" spans="1:17" ht="46.5">
      <c r="A30" s="22" t="s">
        <v>15</v>
      </c>
      <c r="B30" s="4" t="s">
        <v>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</row>
    <row r="31" spans="1:17" ht="46.5">
      <c r="A31" s="22" t="s">
        <v>16</v>
      </c>
      <c r="B31" s="4" t="s">
        <v>5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</row>
    <row r="32" spans="1:17">
      <c r="A32" s="27" t="s">
        <v>21</v>
      </c>
      <c r="B32" s="7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>
      <c r="A33" s="29" t="s">
        <v>22</v>
      </c>
      <c r="B33" s="76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>
      <c r="A34" s="21" t="s">
        <v>23</v>
      </c>
      <c r="B34" s="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67.5">
      <c r="A35" s="30" t="s">
        <v>24</v>
      </c>
      <c r="B35" s="5" t="s">
        <v>25</v>
      </c>
      <c r="C35" s="44">
        <v>91.4</v>
      </c>
      <c r="D35" s="44">
        <v>91.4</v>
      </c>
      <c r="E35" s="44">
        <v>91.4</v>
      </c>
      <c r="F35" s="44">
        <v>91.4</v>
      </c>
      <c r="G35" s="44">
        <v>91.4</v>
      </c>
      <c r="H35" s="44">
        <v>91.4</v>
      </c>
      <c r="I35" s="44">
        <v>91.4</v>
      </c>
      <c r="J35" s="44">
        <v>91.4</v>
      </c>
      <c r="K35" s="44">
        <v>91.4</v>
      </c>
      <c r="L35" s="44">
        <v>91.4</v>
      </c>
      <c r="M35" s="44">
        <v>91.4</v>
      </c>
      <c r="N35" s="44">
        <v>91.4</v>
      </c>
      <c r="O35" s="44">
        <v>91.4</v>
      </c>
      <c r="P35" s="44">
        <v>91.4</v>
      </c>
      <c r="Q35" s="44">
        <v>91.4</v>
      </c>
    </row>
    <row r="36" spans="1:17" ht="22.5">
      <c r="A36" s="26" t="s">
        <v>26</v>
      </c>
      <c r="B36" s="5" t="s">
        <v>25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</row>
    <row r="37" spans="1:17" ht="56.25">
      <c r="A37" s="25" t="s">
        <v>27</v>
      </c>
      <c r="B37" s="7" t="s">
        <v>28</v>
      </c>
      <c r="C37" s="44">
        <v>84.4</v>
      </c>
      <c r="D37" s="44">
        <v>84.4</v>
      </c>
      <c r="E37" s="44">
        <v>84.4</v>
      </c>
      <c r="F37" s="44">
        <v>84.4</v>
      </c>
      <c r="G37" s="44">
        <v>84.4</v>
      </c>
      <c r="H37" s="44">
        <v>84.4</v>
      </c>
      <c r="I37" s="44">
        <v>84.4</v>
      </c>
      <c r="J37" s="44">
        <v>84.4</v>
      </c>
      <c r="K37" s="44">
        <v>84.4</v>
      </c>
      <c r="L37" s="44">
        <v>84.4</v>
      </c>
      <c r="M37" s="44">
        <v>84.4</v>
      </c>
      <c r="N37" s="44">
        <v>84.4</v>
      </c>
      <c r="O37" s="44">
        <v>84.4</v>
      </c>
      <c r="P37" s="44">
        <v>84.4</v>
      </c>
      <c r="Q37" s="44">
        <v>84.4</v>
      </c>
    </row>
    <row r="38" spans="1:17">
      <c r="A38" s="21" t="s">
        <v>29</v>
      </c>
      <c r="B38" s="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ht="24">
      <c r="A39" s="24" t="s">
        <v>30</v>
      </c>
      <c r="B39" s="7" t="s">
        <v>14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</row>
    <row r="40" spans="1:17">
      <c r="A40" s="31"/>
      <c r="B40" s="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45">
      <c r="A41" s="24" t="s">
        <v>31</v>
      </c>
      <c r="B41" s="7" t="s">
        <v>32</v>
      </c>
      <c r="C41" s="44">
        <v>2.1</v>
      </c>
      <c r="D41" s="44">
        <v>2.1</v>
      </c>
      <c r="E41" s="44">
        <v>2.1</v>
      </c>
      <c r="F41" s="44">
        <v>2.1</v>
      </c>
      <c r="G41" s="49">
        <v>2</v>
      </c>
      <c r="H41" s="49">
        <v>2</v>
      </c>
      <c r="I41" s="49">
        <v>2</v>
      </c>
      <c r="J41" s="49">
        <v>2</v>
      </c>
      <c r="K41" s="49">
        <v>2</v>
      </c>
      <c r="L41" s="49">
        <v>2</v>
      </c>
      <c r="M41" s="49">
        <v>2</v>
      </c>
      <c r="N41" s="49">
        <v>2</v>
      </c>
      <c r="O41" s="49">
        <v>2</v>
      </c>
      <c r="P41" s="49">
        <v>2</v>
      </c>
      <c r="Q41" s="49">
        <v>2</v>
      </c>
    </row>
    <row r="42" spans="1:17" ht="33.75">
      <c r="A42" s="24" t="s">
        <v>33</v>
      </c>
      <c r="B42" s="7" t="s">
        <v>34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</row>
    <row r="43" spans="1:17" ht="22.5">
      <c r="A43" s="24" t="s">
        <v>35</v>
      </c>
      <c r="B43" s="6"/>
      <c r="C43" s="44">
        <v>2.7</v>
      </c>
      <c r="D43" s="44">
        <v>2.7</v>
      </c>
      <c r="E43" s="44">
        <v>2.7</v>
      </c>
      <c r="F43" s="44">
        <v>2.7</v>
      </c>
      <c r="G43" s="44">
        <v>2.7</v>
      </c>
      <c r="H43" s="44">
        <v>2.7</v>
      </c>
      <c r="I43" s="44">
        <v>2.7</v>
      </c>
      <c r="J43" s="44">
        <v>2.7</v>
      </c>
      <c r="K43" s="44">
        <v>2.7</v>
      </c>
      <c r="L43" s="44">
        <v>2.7</v>
      </c>
      <c r="M43" s="44">
        <v>2.7</v>
      </c>
      <c r="N43" s="44">
        <v>2.7</v>
      </c>
      <c r="O43" s="44">
        <v>2.7</v>
      </c>
      <c r="P43" s="44">
        <v>2.7</v>
      </c>
      <c r="Q43" s="44">
        <v>2.7</v>
      </c>
    </row>
    <row r="44" spans="1:17" ht="45">
      <c r="A44" s="26" t="s">
        <v>36</v>
      </c>
      <c r="B44" s="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ht="22.5">
      <c r="A45" s="21" t="s">
        <v>37</v>
      </c>
      <c r="B45" s="5" t="s">
        <v>38</v>
      </c>
      <c r="C45" s="44">
        <v>18979</v>
      </c>
      <c r="D45" s="44">
        <f>SUM(C45*102/100)</f>
        <v>19358.580000000002</v>
      </c>
      <c r="E45" s="44">
        <f>SUM(D45*101.7/100)</f>
        <v>19687.675860000003</v>
      </c>
      <c r="F45" s="44">
        <f>SUM(E45*101.8/100)</f>
        <v>20042.054025480003</v>
      </c>
      <c r="G45" s="44">
        <f>SUM(F45*100.3/100)</f>
        <v>20102.180187556442</v>
      </c>
      <c r="H45" s="44">
        <f>SUM(G45*100.4/100)</f>
        <v>20182.588908306669</v>
      </c>
      <c r="I45" s="44">
        <f t="shared" ref="I45:O45" si="7">SUM(H45*102/100)</f>
        <v>20586.2406864728</v>
      </c>
      <c r="J45" s="44">
        <f t="shared" si="7"/>
        <v>20997.965500202259</v>
      </c>
      <c r="K45" s="44">
        <f>SUM(J45*102.3/100)</f>
        <v>21480.918706706911</v>
      </c>
      <c r="L45" s="44">
        <f>SUM(K45*102.3/100)</f>
        <v>21974.979836961171</v>
      </c>
      <c r="M45" s="44">
        <f>SUM(L45*102.1/100)</f>
        <v>22436.454413537354</v>
      </c>
      <c r="N45" s="44">
        <f>SUM(M45*102.3/100)</f>
        <v>22952.492865048713</v>
      </c>
      <c r="O45" s="44">
        <f t="shared" si="7"/>
        <v>23411.542722349688</v>
      </c>
      <c r="P45" s="44">
        <f>SUM(O45*102.4/100)</f>
        <v>23973.419747686083</v>
      </c>
      <c r="Q45" s="44">
        <f>SUM(P45*103/100)</f>
        <v>24692.622340116664</v>
      </c>
    </row>
    <row r="46" spans="1:17" ht="35.25">
      <c r="A46" s="32"/>
      <c r="B46" s="5" t="s">
        <v>39</v>
      </c>
      <c r="C46" s="44">
        <v>103.2</v>
      </c>
      <c r="D46" s="49">
        <f>SUM(D45/C45*100)</f>
        <v>102</v>
      </c>
      <c r="E46" s="44">
        <f t="shared" ref="E46:Q46" si="8">SUM(E45/D45*100)</f>
        <v>101.70000000000002</v>
      </c>
      <c r="F46" s="44">
        <f t="shared" si="8"/>
        <v>101.8</v>
      </c>
      <c r="G46" s="44">
        <f t="shared" si="8"/>
        <v>100.29999999999998</v>
      </c>
      <c r="H46" s="44">
        <f t="shared" si="8"/>
        <v>100.4</v>
      </c>
      <c r="I46" s="44">
        <f t="shared" si="8"/>
        <v>101.99999999999999</v>
      </c>
      <c r="J46" s="44">
        <f t="shared" si="8"/>
        <v>102.00000000000003</v>
      </c>
      <c r="K46" s="44">
        <f t="shared" si="8"/>
        <v>102.3</v>
      </c>
      <c r="L46" s="44">
        <f t="shared" si="8"/>
        <v>102.30000000000001</v>
      </c>
      <c r="M46" s="44">
        <f t="shared" si="8"/>
        <v>102.1</v>
      </c>
      <c r="N46" s="44">
        <f t="shared" si="8"/>
        <v>102.3</v>
      </c>
      <c r="O46" s="44">
        <f t="shared" si="8"/>
        <v>102</v>
      </c>
      <c r="P46" s="44">
        <f t="shared" si="8"/>
        <v>102.4</v>
      </c>
      <c r="Q46" s="44">
        <f t="shared" si="8"/>
        <v>103</v>
      </c>
    </row>
    <row r="47" spans="1:17" ht="22.5">
      <c r="A47" s="22" t="s">
        <v>40</v>
      </c>
      <c r="B47" s="4" t="s">
        <v>38</v>
      </c>
      <c r="C47" s="44">
        <v>9450</v>
      </c>
      <c r="D47" s="44">
        <f>SUM(C47*101/100)</f>
        <v>9544.5</v>
      </c>
      <c r="E47" s="44">
        <f t="shared" ref="E47:P47" si="9">SUM(D47*102/100)</f>
        <v>9735.39</v>
      </c>
      <c r="F47" s="44">
        <f>SUM(E47*102.5/100)</f>
        <v>9978.7747500000005</v>
      </c>
      <c r="G47" s="44">
        <f>SUM(F47*102.8/100)</f>
        <v>10258.180443000001</v>
      </c>
      <c r="H47" s="44">
        <f>SUM(G47*103.1/100)</f>
        <v>10576.184036733001</v>
      </c>
      <c r="I47" s="44">
        <f t="shared" si="9"/>
        <v>10787.70771746766</v>
      </c>
      <c r="J47" s="44">
        <f t="shared" si="9"/>
        <v>11003.461871817011</v>
      </c>
      <c r="K47" s="44">
        <f>SUM(J47*102.1/100)</f>
        <v>11234.534571125167</v>
      </c>
      <c r="L47" s="52">
        <f>SUM(K47*102.2/100)</f>
        <v>11481.694331689921</v>
      </c>
      <c r="M47" s="44">
        <f t="shared" si="9"/>
        <v>11711.328218323719</v>
      </c>
      <c r="N47" s="44">
        <f>SUM(M47*101/100)</f>
        <v>11828.441500506955</v>
      </c>
      <c r="O47" s="44">
        <f>SUM(N47*100.2/100)</f>
        <v>11852.098383507968</v>
      </c>
      <c r="P47" s="44">
        <f t="shared" si="9"/>
        <v>12089.140351178126</v>
      </c>
      <c r="Q47" s="44">
        <f>SUM(P47*104/100)</f>
        <v>12572.705965225252</v>
      </c>
    </row>
    <row r="48" spans="1:17" ht="35.25">
      <c r="A48" s="23"/>
      <c r="B48" s="5" t="s">
        <v>41</v>
      </c>
      <c r="C48" s="44">
        <v>101.2</v>
      </c>
      <c r="D48" s="44">
        <f>SUM(D47/C47*100)</f>
        <v>101</v>
      </c>
      <c r="E48" s="44">
        <f t="shared" ref="E48:Q48" si="10">SUM(E47/D47*100)</f>
        <v>102</v>
      </c>
      <c r="F48" s="44">
        <f t="shared" si="10"/>
        <v>102.50000000000001</v>
      </c>
      <c r="G48" s="44">
        <f t="shared" si="10"/>
        <v>102.8</v>
      </c>
      <c r="H48" s="44">
        <f t="shared" si="10"/>
        <v>103.1</v>
      </c>
      <c r="I48" s="44">
        <f t="shared" si="10"/>
        <v>102</v>
      </c>
      <c r="J48" s="44">
        <f t="shared" si="10"/>
        <v>101.99999999999999</v>
      </c>
      <c r="K48" s="44">
        <f t="shared" si="10"/>
        <v>102.1</v>
      </c>
      <c r="L48" s="44">
        <f t="shared" si="10"/>
        <v>102.2</v>
      </c>
      <c r="M48" s="44">
        <f t="shared" si="10"/>
        <v>102</v>
      </c>
      <c r="N48" s="44">
        <f t="shared" si="10"/>
        <v>101</v>
      </c>
      <c r="O48" s="44">
        <f t="shared" si="10"/>
        <v>100.2</v>
      </c>
      <c r="P48" s="44">
        <f t="shared" si="10"/>
        <v>102</v>
      </c>
      <c r="Q48" s="44">
        <f t="shared" si="10"/>
        <v>104</v>
      </c>
    </row>
    <row r="49" spans="1:17" ht="22.5">
      <c r="A49" s="21" t="s">
        <v>42</v>
      </c>
      <c r="B49" s="5" t="s">
        <v>32</v>
      </c>
      <c r="C49" s="44">
        <v>41.4</v>
      </c>
      <c r="D49" s="52">
        <f>SUM(C49*100.1/100)</f>
        <v>41.441399999999994</v>
      </c>
      <c r="E49" s="52">
        <f>SUM(D49*100.2/100)</f>
        <v>41.524282799999995</v>
      </c>
      <c r="F49" s="52">
        <f>SUM(E49*100.5/100)</f>
        <v>41.731904213999997</v>
      </c>
      <c r="G49" s="52">
        <f>SUM(F49*100.8/100)</f>
        <v>42.065759447711997</v>
      </c>
      <c r="H49" s="52">
        <f>SUM(G49*100.6/100)</f>
        <v>42.318154004398266</v>
      </c>
      <c r="I49" s="52">
        <f t="shared" ref="I49" si="11">SUM(H49*100.1/100)</f>
        <v>42.360472158402665</v>
      </c>
      <c r="J49" s="52">
        <f>SUM(I49*100.8/100)</f>
        <v>42.699355935669885</v>
      </c>
      <c r="K49" s="52">
        <f>SUM(J49*100.3/100)</f>
        <v>42.827454003476895</v>
      </c>
      <c r="L49" s="52">
        <f>SUM(K49*100.9/100)</f>
        <v>43.212901089508186</v>
      </c>
      <c r="M49" s="52">
        <f>SUM(L49*102.1/100)</f>
        <v>44.120372012387854</v>
      </c>
      <c r="N49" s="52">
        <f>SUM(M49*103.1/100)</f>
        <v>45.488103544771874</v>
      </c>
      <c r="O49" s="52">
        <f>SUM(N49*104.4/100)</f>
        <v>47.48958010074184</v>
      </c>
      <c r="P49" s="52">
        <f>SUM(O49*105.1/100)</f>
        <v>49.911548685879673</v>
      </c>
      <c r="Q49" s="52">
        <f>SUM(P49*106.3/100)</f>
        <v>53.055976253090094</v>
      </c>
    </row>
    <row r="50" spans="1:17" ht="35.25">
      <c r="A50" s="23"/>
      <c r="B50" s="5" t="s">
        <v>39</v>
      </c>
      <c r="C50" s="44">
        <v>101.2</v>
      </c>
      <c r="D50" s="52">
        <f>SUM(D49/C49*100)</f>
        <v>100.1</v>
      </c>
      <c r="E50" s="52">
        <f t="shared" ref="E50:N50" si="12">SUM(E49/D49*100)</f>
        <v>100.2</v>
      </c>
      <c r="F50" s="52">
        <f t="shared" si="12"/>
        <v>100.50000000000001</v>
      </c>
      <c r="G50" s="52">
        <f t="shared" si="12"/>
        <v>100.8</v>
      </c>
      <c r="H50" s="52">
        <f t="shared" si="12"/>
        <v>100.6</v>
      </c>
      <c r="I50" s="52">
        <f t="shared" si="12"/>
        <v>100.10000000000001</v>
      </c>
      <c r="J50" s="52">
        <f t="shared" si="12"/>
        <v>100.8</v>
      </c>
      <c r="K50" s="52">
        <f t="shared" si="12"/>
        <v>100.29999999999998</v>
      </c>
      <c r="L50" s="52">
        <f t="shared" si="12"/>
        <v>100.89999999999999</v>
      </c>
      <c r="M50" s="52">
        <f t="shared" si="12"/>
        <v>102.1</v>
      </c>
      <c r="N50" s="52">
        <f t="shared" si="12"/>
        <v>103.1</v>
      </c>
      <c r="O50" s="52">
        <f t="shared" ref="O50" si="13">SUM(O49/N49*100)</f>
        <v>104.4</v>
      </c>
      <c r="P50" s="52">
        <f t="shared" ref="P50" si="14">SUM(P49/O49*100)</f>
        <v>105.1</v>
      </c>
      <c r="Q50" s="52">
        <f t="shared" ref="Q50" si="15">SUM(Q49/P49*100)</f>
        <v>106.3</v>
      </c>
    </row>
    <row r="51" spans="1:17" ht="33.75">
      <c r="A51" s="21" t="s">
        <v>43</v>
      </c>
      <c r="B51" s="5" t="s">
        <v>32</v>
      </c>
      <c r="C51" s="44">
        <v>18.7</v>
      </c>
      <c r="D51" s="52">
        <f>SUM(C51*103/100)</f>
        <v>19.260999999999999</v>
      </c>
      <c r="E51" s="52">
        <f t="shared" ref="E51:Q51" si="16">SUM(D51*103/100)</f>
        <v>19.838829999999998</v>
      </c>
      <c r="F51" s="52">
        <f t="shared" si="16"/>
        <v>20.433994899999998</v>
      </c>
      <c r="G51" s="52">
        <f t="shared" si="16"/>
        <v>21.047014746999999</v>
      </c>
      <c r="H51" s="52" t="e">
        <f>SUM(E54G51*103/100)</f>
        <v>#NAME?</v>
      </c>
      <c r="I51" s="52" t="e">
        <f t="shared" si="16"/>
        <v>#NAME?</v>
      </c>
      <c r="J51" s="52" t="e">
        <f t="shared" si="16"/>
        <v>#NAME?</v>
      </c>
      <c r="K51" s="52" t="e">
        <f t="shared" si="16"/>
        <v>#NAME?</v>
      </c>
      <c r="L51" s="52" t="e">
        <f t="shared" si="16"/>
        <v>#NAME?</v>
      </c>
      <c r="M51" s="52" t="e">
        <f t="shared" si="16"/>
        <v>#NAME?</v>
      </c>
      <c r="N51" s="52" t="e">
        <f>SUM(M51*103/100)</f>
        <v>#NAME?</v>
      </c>
      <c r="O51" s="52" t="e">
        <f t="shared" si="16"/>
        <v>#NAME?</v>
      </c>
      <c r="P51" s="52" t="e">
        <f t="shared" si="16"/>
        <v>#NAME?</v>
      </c>
      <c r="Q51" s="52" t="e">
        <f t="shared" si="16"/>
        <v>#NAME?</v>
      </c>
    </row>
    <row r="52" spans="1:17" ht="35.25">
      <c r="A52" s="23"/>
      <c r="B52" s="5" t="s">
        <v>39</v>
      </c>
      <c r="C52" s="44">
        <v>105</v>
      </c>
      <c r="D52" s="44">
        <f>SUM(D51/C51)*100</f>
        <v>103</v>
      </c>
      <c r="E52" s="44">
        <f t="shared" ref="E52:N52" si="17">SUM(E51/D51)*100</f>
        <v>103</v>
      </c>
      <c r="F52" s="44">
        <f t="shared" si="17"/>
        <v>103</v>
      </c>
      <c r="G52" s="44">
        <f t="shared" si="17"/>
        <v>103</v>
      </c>
      <c r="H52" s="44" t="e">
        <f t="shared" si="17"/>
        <v>#NAME?</v>
      </c>
      <c r="I52" s="44" t="e">
        <f t="shared" si="17"/>
        <v>#NAME?</v>
      </c>
      <c r="J52" s="44" t="e">
        <f t="shared" si="17"/>
        <v>#NAME?</v>
      </c>
      <c r="K52" s="44" t="e">
        <f t="shared" si="17"/>
        <v>#NAME?</v>
      </c>
      <c r="L52" s="44" t="e">
        <f t="shared" si="17"/>
        <v>#NAME?</v>
      </c>
      <c r="M52" s="44" t="e">
        <f t="shared" si="17"/>
        <v>#NAME?</v>
      </c>
      <c r="N52" s="44" t="e">
        <f t="shared" si="17"/>
        <v>#NAME?</v>
      </c>
      <c r="O52" s="44" t="e">
        <f t="shared" ref="O52" si="18">SUM(O51/N51)*100</f>
        <v>#NAME?</v>
      </c>
      <c r="P52" s="44" t="e">
        <f t="shared" ref="P52" si="19">SUM(P51/O51)*100</f>
        <v>#NAME?</v>
      </c>
      <c r="Q52" s="44" t="e">
        <f t="shared" ref="Q52" si="20">SUM(Q51/P51)*100</f>
        <v>#NAME?</v>
      </c>
    </row>
    <row r="53" spans="1:17" ht="64.900000000000006" customHeight="1">
      <c r="A53" s="26" t="s">
        <v>44</v>
      </c>
      <c r="B53" s="5" t="s">
        <v>14</v>
      </c>
      <c r="C53" s="44">
        <v>552.63900000000001</v>
      </c>
      <c r="D53" s="44">
        <v>627.10299999999995</v>
      </c>
      <c r="E53" s="52">
        <f>SUM(D53*103/100)</f>
        <v>645.91608999999994</v>
      </c>
      <c r="F53" s="52">
        <f>SUM(E53*103.2/100)</f>
        <v>666.58540487999994</v>
      </c>
      <c r="G53" s="52">
        <f>SUM(F53*102.9/100)</f>
        <v>685.91638162152003</v>
      </c>
      <c r="H53" s="52">
        <f>SUM(G53*105.3/100)</f>
        <v>722.26994984746057</v>
      </c>
      <c r="I53" s="52">
        <f t="shared" ref="I53:Q53" si="21">SUM(H53*103/100)</f>
        <v>743.93804834288449</v>
      </c>
      <c r="J53" s="52">
        <f>SUM(I53*101.8/100)</f>
        <v>757.32893321305642</v>
      </c>
      <c r="K53" s="52">
        <f t="shared" si="21"/>
        <v>780.04880120944813</v>
      </c>
      <c r="L53" s="52">
        <f>SUM(K53*102.1/100)</f>
        <v>796.42982603484643</v>
      </c>
      <c r="M53" s="52">
        <f t="shared" si="21"/>
        <v>820.32272081589178</v>
      </c>
      <c r="N53" s="52">
        <f>SUM(M53*103.8/100)</f>
        <v>851.49498420689565</v>
      </c>
      <c r="O53" s="52">
        <f t="shared" si="21"/>
        <v>877.03983373310257</v>
      </c>
      <c r="P53" s="52">
        <f t="shared" si="21"/>
        <v>903.35102874509573</v>
      </c>
      <c r="Q53" s="52">
        <f t="shared" si="21"/>
        <v>930.45155960744853</v>
      </c>
    </row>
    <row r="54" spans="1:17" ht="80.25">
      <c r="A54" s="23"/>
      <c r="B54" s="5" t="s">
        <v>45</v>
      </c>
      <c r="C54" s="44">
        <v>107.5</v>
      </c>
      <c r="D54" s="52">
        <f>SUM(D53/C53*100)</f>
        <v>113.47425715521342</v>
      </c>
      <c r="E54" s="52">
        <f t="shared" ref="E54:Q54" si="22">SUM(E53/D53*100)</f>
        <v>103</v>
      </c>
      <c r="F54" s="52">
        <f t="shared" si="22"/>
        <v>103.2</v>
      </c>
      <c r="G54" s="52">
        <f t="shared" si="22"/>
        <v>102.90000000000002</v>
      </c>
      <c r="H54" s="52">
        <f t="shared" si="22"/>
        <v>105.3</v>
      </c>
      <c r="I54" s="52">
        <f t="shared" si="22"/>
        <v>103.00000000000003</v>
      </c>
      <c r="J54" s="52">
        <f t="shared" si="22"/>
        <v>101.8</v>
      </c>
      <c r="K54" s="52">
        <f t="shared" si="22"/>
        <v>103</v>
      </c>
      <c r="L54" s="52">
        <f t="shared" si="22"/>
        <v>102.1</v>
      </c>
      <c r="M54" s="52">
        <f t="shared" si="22"/>
        <v>103</v>
      </c>
      <c r="N54" s="52">
        <f t="shared" si="22"/>
        <v>103.8</v>
      </c>
      <c r="O54" s="52">
        <f t="shared" si="22"/>
        <v>103</v>
      </c>
      <c r="P54" s="52">
        <f t="shared" si="22"/>
        <v>103</v>
      </c>
      <c r="Q54" s="52">
        <f t="shared" si="22"/>
        <v>103</v>
      </c>
    </row>
    <row r="55" spans="1:17" s="55" customFormat="1" ht="46.5">
      <c r="A55" s="25" t="s">
        <v>46</v>
      </c>
      <c r="B55" s="7" t="s">
        <v>47</v>
      </c>
      <c r="C55" s="54">
        <v>109.9</v>
      </c>
      <c r="D55" s="54">
        <v>108.7</v>
      </c>
      <c r="E55" s="54">
        <v>106.7</v>
      </c>
      <c r="F55" s="54">
        <v>107.4</v>
      </c>
      <c r="G55" s="54">
        <v>106.7</v>
      </c>
      <c r="H55" s="54">
        <v>106.7</v>
      </c>
      <c r="I55" s="54">
        <v>106.7</v>
      </c>
      <c r="J55" s="54">
        <v>106.7</v>
      </c>
      <c r="K55" s="54">
        <v>106.7</v>
      </c>
      <c r="L55" s="54">
        <v>106.7</v>
      </c>
      <c r="M55" s="54">
        <v>106.7</v>
      </c>
      <c r="N55" s="54">
        <v>106.7</v>
      </c>
      <c r="O55" s="54">
        <v>106.7</v>
      </c>
      <c r="P55" s="54">
        <v>106.7</v>
      </c>
      <c r="Q55" s="54">
        <v>106.7</v>
      </c>
    </row>
    <row r="56" spans="1:17">
      <c r="A56" s="27" t="s">
        <v>48</v>
      </c>
      <c r="B56" s="7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>
      <c r="A57" s="29" t="s">
        <v>49</v>
      </c>
      <c r="B57" s="76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ht="24">
      <c r="A58" s="26" t="s">
        <v>51</v>
      </c>
      <c r="B58" s="5" t="s">
        <v>14</v>
      </c>
      <c r="C58" s="44">
        <v>1936.9</v>
      </c>
      <c r="D58" s="52">
        <f>SUM(C58*103/100)</f>
        <v>1995.0070000000001</v>
      </c>
      <c r="E58" s="52">
        <f>SUM(D58*102.8/100)</f>
        <v>2050.8671960000001</v>
      </c>
      <c r="F58" s="52">
        <f>SUM(E58*103.5/100)</f>
        <v>2122.64754786</v>
      </c>
      <c r="G58" s="52">
        <f>SUM(F58*101.9/100)</f>
        <v>2162.9778512693401</v>
      </c>
      <c r="H58" s="52">
        <f>SUM(G58*103.8/100)</f>
        <v>2245.1710096175752</v>
      </c>
      <c r="I58" s="52">
        <f>SUM(H58*105.2/100)</f>
        <v>2361.9199021176892</v>
      </c>
      <c r="J58" s="52">
        <f>SUM(I58*106.7/100)</f>
        <v>2520.1685355595746</v>
      </c>
      <c r="K58" s="52">
        <f>SUM(J58*102.8/100)</f>
        <v>2590.7332545552426</v>
      </c>
      <c r="L58" s="52">
        <f t="shared" ref="L58:Q58" si="23">SUM(K58*103/100)</f>
        <v>2668.4552521918999</v>
      </c>
      <c r="M58" s="52">
        <f>SUM(L58*102.5/100)</f>
        <v>2735.1666334966972</v>
      </c>
      <c r="N58" s="52">
        <f>SUM(M58*101.7/100)</f>
        <v>2781.6644662661406</v>
      </c>
      <c r="O58" s="52">
        <f>SUM(N58*103.4/100)</f>
        <v>2876.2410581191898</v>
      </c>
      <c r="P58" s="52">
        <f>SUM(O58*108.9/100)</f>
        <v>3132.2265122917979</v>
      </c>
      <c r="Q58" s="52">
        <f t="shared" si="23"/>
        <v>3226.1933076605519</v>
      </c>
    </row>
    <row r="59" spans="1:17" ht="80.25">
      <c r="A59" s="23"/>
      <c r="B59" s="5" t="s">
        <v>45</v>
      </c>
      <c r="C59" s="54">
        <v>125.36</v>
      </c>
      <c r="D59" s="52">
        <f>SUM(D58/C58*100)</f>
        <v>103</v>
      </c>
      <c r="E59" s="52">
        <f t="shared" ref="E59:Q59" si="24">SUM(E58/D58*100)</f>
        <v>102.8</v>
      </c>
      <c r="F59" s="52">
        <f t="shared" si="24"/>
        <v>103.49999999999999</v>
      </c>
      <c r="G59" s="52">
        <f t="shared" si="24"/>
        <v>101.9</v>
      </c>
      <c r="H59" s="52">
        <f t="shared" si="24"/>
        <v>103.8</v>
      </c>
      <c r="I59" s="52">
        <f t="shared" si="24"/>
        <v>105.2</v>
      </c>
      <c r="J59" s="52">
        <f t="shared" si="24"/>
        <v>106.70000000000002</v>
      </c>
      <c r="K59" s="52">
        <f t="shared" si="24"/>
        <v>102.8</v>
      </c>
      <c r="L59" s="52">
        <f t="shared" si="24"/>
        <v>103</v>
      </c>
      <c r="M59" s="52">
        <f t="shared" si="24"/>
        <v>102.49999999999999</v>
      </c>
      <c r="N59" s="52">
        <f t="shared" si="24"/>
        <v>101.69999999999999</v>
      </c>
      <c r="O59" s="52">
        <f t="shared" si="24"/>
        <v>103.40000000000002</v>
      </c>
      <c r="P59" s="52">
        <f t="shared" si="24"/>
        <v>108.89999999999999</v>
      </c>
      <c r="Q59" s="52">
        <f t="shared" si="24"/>
        <v>103</v>
      </c>
    </row>
    <row r="60" spans="1:17" s="55" customFormat="1" ht="46.5">
      <c r="A60" s="25" t="s">
        <v>52</v>
      </c>
      <c r="B60" s="19" t="s">
        <v>5</v>
      </c>
      <c r="C60" s="54">
        <v>105.4</v>
      </c>
      <c r="D60" s="54">
        <v>105.6</v>
      </c>
      <c r="E60" s="54">
        <v>106</v>
      </c>
      <c r="F60" s="54">
        <v>105.6</v>
      </c>
      <c r="G60" s="54">
        <v>104.9</v>
      </c>
      <c r="H60" s="54">
        <v>104.9</v>
      </c>
      <c r="I60" s="54">
        <v>104.9</v>
      </c>
      <c r="J60" s="54">
        <v>104.9</v>
      </c>
      <c r="K60" s="54">
        <v>104.9</v>
      </c>
      <c r="L60" s="54">
        <v>104.9</v>
      </c>
      <c r="M60" s="54">
        <v>104.9</v>
      </c>
      <c r="N60" s="54">
        <v>104.9</v>
      </c>
      <c r="O60" s="54">
        <v>104.9</v>
      </c>
      <c r="P60" s="54">
        <v>104.9</v>
      </c>
      <c r="Q60" s="54">
        <v>104.9</v>
      </c>
    </row>
    <row r="61" spans="1:17" ht="24">
      <c r="A61" s="26" t="s">
        <v>53</v>
      </c>
      <c r="B61" s="11" t="s">
        <v>14</v>
      </c>
      <c r="C61" s="44">
        <v>1497.62</v>
      </c>
      <c r="D61" s="44">
        <f>SUM(C61*103/100)</f>
        <v>1542.5485999999999</v>
      </c>
      <c r="E61" s="52">
        <f>SUM(D61*101.5/100)</f>
        <v>1565.6868289999998</v>
      </c>
      <c r="F61" s="44">
        <f>SUM(E61*102.1/100)</f>
        <v>1598.5662524089996</v>
      </c>
      <c r="G61" s="44">
        <f>SUM(F61*105.1/100)</f>
        <v>1680.0931312818584</v>
      </c>
      <c r="H61" s="44">
        <f>SUM(G61*102.8/100)</f>
        <v>1727.1357389577504</v>
      </c>
      <c r="I61" s="44">
        <f>SUM(H61*101.5/100)</f>
        <v>1753.0427750421168</v>
      </c>
      <c r="J61" s="44">
        <f>SUM(I61*101.6/100)</f>
        <v>1781.0914594427907</v>
      </c>
      <c r="K61" s="44">
        <f t="shared" ref="K61" si="25">SUM(J61*103/100)</f>
        <v>1834.5242032260744</v>
      </c>
      <c r="L61" s="52">
        <f>SUM(K61*104.1/100)</f>
        <v>1909.7396955583433</v>
      </c>
      <c r="M61" s="44">
        <f>SUM(L61*101.9/100)</f>
        <v>1946.024749773952</v>
      </c>
      <c r="N61" s="44">
        <f>SUM(M61*101.2/100)</f>
        <v>1969.3770467712395</v>
      </c>
      <c r="O61" s="44">
        <f>SUM(N61*101.1/100)</f>
        <v>1991.0401942857229</v>
      </c>
      <c r="P61" s="44">
        <f>SUM(O61*103.6/100)</f>
        <v>2062.717641280009</v>
      </c>
      <c r="Q61" s="44">
        <f>SUM(P61*107.1/100)</f>
        <v>2209.1705938108898</v>
      </c>
    </row>
    <row r="62" spans="1:17" ht="80.25">
      <c r="A62" s="23"/>
      <c r="B62" s="11" t="s">
        <v>45</v>
      </c>
      <c r="C62" s="54">
        <v>104.94</v>
      </c>
      <c r="D62" s="44">
        <f>SUM(D61/C61*100)</f>
        <v>103</v>
      </c>
      <c r="E62" s="44">
        <f t="shared" ref="E62:Q62" si="26">SUM(E61/D61*100)</f>
        <v>101.49999999999999</v>
      </c>
      <c r="F62" s="44">
        <f t="shared" si="26"/>
        <v>102.1</v>
      </c>
      <c r="G62" s="44">
        <f t="shared" si="26"/>
        <v>105.1</v>
      </c>
      <c r="H62" s="44">
        <f t="shared" si="26"/>
        <v>102.8</v>
      </c>
      <c r="I62" s="44">
        <f t="shared" si="26"/>
        <v>101.50000000000001</v>
      </c>
      <c r="J62" s="44">
        <f t="shared" si="26"/>
        <v>101.6</v>
      </c>
      <c r="K62" s="44">
        <f t="shared" si="26"/>
        <v>103</v>
      </c>
      <c r="L62" s="44">
        <f t="shared" si="26"/>
        <v>104.1</v>
      </c>
      <c r="M62" s="44">
        <f t="shared" si="26"/>
        <v>101.9</v>
      </c>
      <c r="N62" s="44">
        <f t="shared" si="26"/>
        <v>101.2</v>
      </c>
      <c r="O62" s="44">
        <f t="shared" si="26"/>
        <v>101.1</v>
      </c>
      <c r="P62" s="44">
        <f t="shared" si="26"/>
        <v>103.60000000000001</v>
      </c>
      <c r="Q62" s="44">
        <f t="shared" si="26"/>
        <v>107.10000000000002</v>
      </c>
    </row>
    <row r="63" spans="1:17" s="55" customFormat="1" ht="69">
      <c r="A63" s="25" t="s">
        <v>54</v>
      </c>
      <c r="B63" s="19" t="s">
        <v>50</v>
      </c>
      <c r="C63" s="54">
        <v>105.4</v>
      </c>
      <c r="D63" s="54">
        <v>105.6</v>
      </c>
      <c r="E63" s="54">
        <v>106</v>
      </c>
      <c r="F63" s="54">
        <v>105.6</v>
      </c>
      <c r="G63" s="54">
        <v>104.9</v>
      </c>
      <c r="H63" s="54">
        <v>104.9</v>
      </c>
      <c r="I63" s="54">
        <v>104.9</v>
      </c>
      <c r="J63" s="54">
        <v>104.9</v>
      </c>
      <c r="K63" s="54">
        <v>104.9</v>
      </c>
      <c r="L63" s="54">
        <v>104.9</v>
      </c>
      <c r="M63" s="54">
        <v>104.9</v>
      </c>
      <c r="N63" s="54">
        <v>104.9</v>
      </c>
      <c r="O63" s="54">
        <v>104.9</v>
      </c>
      <c r="P63" s="54">
        <v>104.9</v>
      </c>
      <c r="Q63" s="54">
        <v>104.9</v>
      </c>
    </row>
    <row r="64" spans="1:17" ht="24">
      <c r="A64" s="26" t="s">
        <v>55</v>
      </c>
      <c r="B64" s="11" t="s">
        <v>14</v>
      </c>
      <c r="C64" s="44">
        <v>252.9</v>
      </c>
      <c r="D64" s="52">
        <f>SUM(C64*103/100)</f>
        <v>260.48700000000002</v>
      </c>
      <c r="E64" s="52">
        <f>SUM(D64*101.8/100)</f>
        <v>265.17576600000001</v>
      </c>
      <c r="F64" s="52">
        <f>SUM(E64*102.3/100)</f>
        <v>271.27480861800001</v>
      </c>
      <c r="G64" s="52">
        <f>SUM(F64*102.1/100)</f>
        <v>276.971579598978</v>
      </c>
      <c r="H64" s="52">
        <f>SUM(G64*101.7/100)</f>
        <v>281.68009645216063</v>
      </c>
      <c r="I64" s="52">
        <f t="shared" ref="I64" si="27">SUM(H64*103/100)</f>
        <v>290.13049934572541</v>
      </c>
      <c r="J64" s="52">
        <f>SUM(I64*102.1/100)</f>
        <v>296.22323983198561</v>
      </c>
      <c r="K64" s="52">
        <f>SUM(J64*104.1/100)</f>
        <v>308.36839266509702</v>
      </c>
      <c r="L64" s="52">
        <f>SUM(K64*101.8/100)</f>
        <v>313.91902373306874</v>
      </c>
      <c r="M64" s="52">
        <f>SUM(L64*103.2/100)</f>
        <v>323.96443249252695</v>
      </c>
      <c r="N64" s="52">
        <f>SUM(M64*102.9/100)</f>
        <v>333.35940103481028</v>
      </c>
      <c r="O64" s="52">
        <f>SUM(N64*103.7/100)</f>
        <v>345.69369887309824</v>
      </c>
      <c r="P64" s="52">
        <f>SUM(O64*104.1/100)</f>
        <v>359.86714052689524</v>
      </c>
      <c r="Q64" s="52">
        <f>SUM(P64*102.1/100)</f>
        <v>367.42435047796005</v>
      </c>
    </row>
    <row r="65" spans="1:17" ht="80.25">
      <c r="A65" s="23"/>
      <c r="B65" s="11" t="s">
        <v>45</v>
      </c>
      <c r="C65" s="54">
        <v>145.99</v>
      </c>
      <c r="D65" s="52">
        <f>SUM(D64/C64*100)</f>
        <v>103</v>
      </c>
      <c r="E65" s="52">
        <f t="shared" ref="E65:Q65" si="28">SUM(E64/D64*100)</f>
        <v>101.8</v>
      </c>
      <c r="F65" s="52">
        <f t="shared" si="28"/>
        <v>102.3</v>
      </c>
      <c r="G65" s="52">
        <f t="shared" si="28"/>
        <v>102.1</v>
      </c>
      <c r="H65" s="52">
        <f t="shared" si="28"/>
        <v>101.69999999999999</v>
      </c>
      <c r="I65" s="52">
        <f t="shared" si="28"/>
        <v>102.99999999999999</v>
      </c>
      <c r="J65" s="52">
        <f t="shared" si="28"/>
        <v>102.1</v>
      </c>
      <c r="K65" s="52">
        <f t="shared" si="28"/>
        <v>104.1</v>
      </c>
      <c r="L65" s="52">
        <f t="shared" si="28"/>
        <v>101.8</v>
      </c>
      <c r="M65" s="52">
        <f t="shared" si="28"/>
        <v>103.2</v>
      </c>
      <c r="N65" s="52">
        <f t="shared" si="28"/>
        <v>102.90000000000002</v>
      </c>
      <c r="O65" s="52">
        <f t="shared" si="28"/>
        <v>103.69999999999999</v>
      </c>
      <c r="P65" s="52">
        <f t="shared" si="28"/>
        <v>104.1</v>
      </c>
      <c r="Q65" s="52">
        <f t="shared" si="28"/>
        <v>102.1</v>
      </c>
    </row>
    <row r="66" spans="1:17" s="55" customFormat="1" ht="46.5">
      <c r="A66" s="25" t="s">
        <v>56</v>
      </c>
      <c r="B66" s="19" t="s">
        <v>5</v>
      </c>
      <c r="C66" s="54">
        <v>106</v>
      </c>
      <c r="D66" s="54">
        <v>105.9</v>
      </c>
      <c r="E66" s="54">
        <v>107.3</v>
      </c>
      <c r="F66" s="54">
        <v>108.8</v>
      </c>
      <c r="G66" s="54">
        <v>107.6</v>
      </c>
      <c r="H66" s="54">
        <v>107.6</v>
      </c>
      <c r="I66" s="54">
        <v>107.6</v>
      </c>
      <c r="J66" s="54">
        <v>107.6</v>
      </c>
      <c r="K66" s="54">
        <v>107.6</v>
      </c>
      <c r="L66" s="54">
        <v>107.6</v>
      </c>
      <c r="M66" s="54">
        <v>107.6</v>
      </c>
      <c r="N66" s="54">
        <v>107.6</v>
      </c>
      <c r="O66" s="54">
        <v>107.6</v>
      </c>
      <c r="P66" s="54">
        <v>107.6</v>
      </c>
      <c r="Q66" s="54">
        <v>107.6</v>
      </c>
    </row>
    <row r="67" spans="1:17">
      <c r="A67" s="26" t="s">
        <v>57</v>
      </c>
      <c r="B67" s="72"/>
      <c r="C67" s="44">
        <v>252.9</v>
      </c>
      <c r="D67" s="52">
        <f>SUM(D69+D71+D73+D75+D77+D79+D81+D83+D85)</f>
        <v>250.44656000000001</v>
      </c>
      <c r="E67" s="52">
        <f t="shared" ref="E67:Q67" si="29">SUM(E69+E71+E73+E75+E77+E79+E81+E83+E85)</f>
        <v>255.36480279000003</v>
      </c>
      <c r="F67" s="52">
        <f t="shared" si="29"/>
        <v>262.70942366227996</v>
      </c>
      <c r="G67" s="52">
        <f t="shared" si="29"/>
        <v>272.63089278061744</v>
      </c>
      <c r="H67" s="52">
        <f t="shared" si="29"/>
        <v>282.51493235255168</v>
      </c>
      <c r="I67" s="52">
        <f t="shared" si="29"/>
        <v>288.46479048075088</v>
      </c>
      <c r="J67" s="52">
        <f t="shared" si="29"/>
        <v>310.22138516406187</v>
      </c>
      <c r="K67" s="52">
        <f t="shared" si="29"/>
        <v>339.20767997015918</v>
      </c>
      <c r="L67" s="52">
        <f t="shared" si="29"/>
        <v>349.59438522558503</v>
      </c>
      <c r="M67" s="52">
        <f t="shared" si="29"/>
        <v>372.71878853943537</v>
      </c>
      <c r="N67" s="52">
        <f t="shared" si="29"/>
        <v>400.82006388144237</v>
      </c>
      <c r="O67" s="52">
        <f t="shared" si="29"/>
        <v>438.86256653912204</v>
      </c>
      <c r="P67" s="52">
        <f t="shared" si="29"/>
        <v>456.51122875464029</v>
      </c>
      <c r="Q67" s="52">
        <f t="shared" si="29"/>
        <v>491.5711918324285</v>
      </c>
    </row>
    <row r="68" spans="1:17">
      <c r="A68" s="26" t="s">
        <v>58</v>
      </c>
      <c r="B68" s="72"/>
      <c r="C68" s="44"/>
      <c r="D68" s="52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ht="69">
      <c r="A69" s="26" t="s">
        <v>59</v>
      </c>
      <c r="B69" s="11" t="s">
        <v>60</v>
      </c>
      <c r="C69" s="52">
        <v>13.183999999999999</v>
      </c>
      <c r="D69" s="52">
        <f>SUM(C69*103/100)</f>
        <v>13.57952</v>
      </c>
      <c r="E69" s="52">
        <f t="shared" ref="E69:Q69" si="30">SUM(D69*103/100)</f>
        <v>13.9869056</v>
      </c>
      <c r="F69" s="52">
        <f t="shared" si="30"/>
        <v>14.406512768000001</v>
      </c>
      <c r="G69" s="52">
        <f t="shared" si="30"/>
        <v>14.838708151040001</v>
      </c>
      <c r="H69" s="52">
        <f t="shared" si="30"/>
        <v>15.2838693955712</v>
      </c>
      <c r="I69" s="52">
        <f t="shared" si="30"/>
        <v>15.742385477438336</v>
      </c>
      <c r="J69" s="52">
        <f t="shared" si="30"/>
        <v>16.214657041761487</v>
      </c>
      <c r="K69" s="52">
        <f t="shared" si="30"/>
        <v>16.701096753014333</v>
      </c>
      <c r="L69" s="52">
        <f t="shared" si="30"/>
        <v>17.202129655604764</v>
      </c>
      <c r="M69" s="52">
        <f t="shared" si="30"/>
        <v>17.718193545272907</v>
      </c>
      <c r="N69" s="52">
        <f t="shared" si="30"/>
        <v>18.249739351631096</v>
      </c>
      <c r="O69" s="52">
        <f t="shared" si="30"/>
        <v>18.797231532180028</v>
      </c>
      <c r="P69" s="52">
        <f t="shared" si="30"/>
        <v>19.361148478145427</v>
      </c>
      <c r="Q69" s="52">
        <f t="shared" si="30"/>
        <v>19.94198293248979</v>
      </c>
    </row>
    <row r="70" spans="1:17" ht="80.25">
      <c r="A70" s="23"/>
      <c r="B70" s="11" t="s">
        <v>45</v>
      </c>
      <c r="C70" s="54">
        <v>96.99</v>
      </c>
      <c r="D70" s="52">
        <f>SUM(D69/C69*100)</f>
        <v>103</v>
      </c>
      <c r="E70" s="52">
        <f t="shared" ref="E70:Q70" si="31">SUM(E69/D69*100)</f>
        <v>103</v>
      </c>
      <c r="F70" s="52">
        <f t="shared" si="31"/>
        <v>103</v>
      </c>
      <c r="G70" s="52">
        <f t="shared" si="31"/>
        <v>103</v>
      </c>
      <c r="H70" s="52">
        <f t="shared" si="31"/>
        <v>103</v>
      </c>
      <c r="I70" s="52">
        <f t="shared" si="31"/>
        <v>103</v>
      </c>
      <c r="J70" s="52">
        <f t="shared" si="31"/>
        <v>103</v>
      </c>
      <c r="K70" s="52">
        <f t="shared" si="31"/>
        <v>103</v>
      </c>
      <c r="L70" s="52">
        <f t="shared" si="31"/>
        <v>103</v>
      </c>
      <c r="M70" s="52">
        <f t="shared" si="31"/>
        <v>103</v>
      </c>
      <c r="N70" s="52">
        <f t="shared" si="31"/>
        <v>103</v>
      </c>
      <c r="O70" s="52">
        <f t="shared" si="31"/>
        <v>103</v>
      </c>
      <c r="P70" s="52">
        <f t="shared" si="31"/>
        <v>102.99999999999999</v>
      </c>
      <c r="Q70" s="52">
        <f t="shared" si="31"/>
        <v>103</v>
      </c>
    </row>
    <row r="71" spans="1:17" s="55" customFormat="1" ht="69">
      <c r="A71" s="25" t="s">
        <v>61</v>
      </c>
      <c r="B71" s="19" t="s">
        <v>60</v>
      </c>
      <c r="C71" s="63">
        <v>9.1549999999999994</v>
      </c>
      <c r="D71" s="63">
        <f>SUM(C71*103/100)</f>
        <v>9.4296499999999988</v>
      </c>
      <c r="E71" s="63">
        <f>SUM(D71*101.3/100)</f>
        <v>9.5522354499999977</v>
      </c>
      <c r="F71" s="63">
        <f>SUM(E71*103.2/100)</f>
        <v>9.8579069843999978</v>
      </c>
      <c r="G71" s="63">
        <f>SUM(F71*103.7/100)</f>
        <v>10.222649542822797</v>
      </c>
      <c r="H71" s="63">
        <f>SUM(G71*102.9/100)</f>
        <v>10.51910637956466</v>
      </c>
      <c r="I71" s="63">
        <f>SUM(H71*104.8/100)</f>
        <v>11.024023485783765</v>
      </c>
      <c r="J71" s="63">
        <f t="shared" ref="J71" si="32">SUM(I71*103/100)</f>
        <v>11.354744190357279</v>
      </c>
      <c r="K71" s="63">
        <f>SUM(J71*103.9/100)</f>
        <v>11.797579213781214</v>
      </c>
      <c r="L71" s="63">
        <f>SUM(K71*103.1/100)</f>
        <v>12.163304169408432</v>
      </c>
      <c r="M71" s="63">
        <f>SUM(L71*102.1/100)</f>
        <v>12.418733556966009</v>
      </c>
      <c r="N71" s="63">
        <f>SUM(M71*101.9/100)</f>
        <v>12.654689494548363</v>
      </c>
      <c r="O71" s="63">
        <f>SUM(N71*105/100)</f>
        <v>13.28742396927578</v>
      </c>
      <c r="P71" s="63">
        <f>SUM(O71*107/100)</f>
        <v>14.217543647125085</v>
      </c>
      <c r="Q71" s="63">
        <f>SUM(P71*106/100)</f>
        <v>15.07059626595259</v>
      </c>
    </row>
    <row r="72" spans="1:17" ht="80.25">
      <c r="A72" s="23"/>
      <c r="B72" s="11" t="s">
        <v>45</v>
      </c>
      <c r="C72" s="54">
        <v>220.12</v>
      </c>
      <c r="D72" s="52">
        <f>SUM(D71/C71*100)</f>
        <v>103</v>
      </c>
      <c r="E72" s="52">
        <f t="shared" ref="E72:Q72" si="33">SUM(E71/D71*100)</f>
        <v>101.29999999999998</v>
      </c>
      <c r="F72" s="52">
        <f t="shared" si="33"/>
        <v>103.2</v>
      </c>
      <c r="G72" s="52">
        <f t="shared" si="33"/>
        <v>103.69999999999999</v>
      </c>
      <c r="H72" s="52">
        <f t="shared" si="33"/>
        <v>102.90000000000002</v>
      </c>
      <c r="I72" s="52">
        <f t="shared" si="33"/>
        <v>104.80000000000003</v>
      </c>
      <c r="J72" s="52">
        <f t="shared" si="33"/>
        <v>103</v>
      </c>
      <c r="K72" s="52">
        <f t="shared" si="33"/>
        <v>103.90000000000002</v>
      </c>
      <c r="L72" s="52">
        <f t="shared" si="33"/>
        <v>103.10000000000001</v>
      </c>
      <c r="M72" s="52">
        <f t="shared" si="33"/>
        <v>102.1</v>
      </c>
      <c r="N72" s="52">
        <f t="shared" si="33"/>
        <v>101.89999999999999</v>
      </c>
      <c r="O72" s="52">
        <f t="shared" si="33"/>
        <v>105</v>
      </c>
      <c r="P72" s="52">
        <f t="shared" si="33"/>
        <v>107</v>
      </c>
      <c r="Q72" s="52">
        <f t="shared" si="33"/>
        <v>106</v>
      </c>
    </row>
    <row r="73" spans="1:17" ht="69">
      <c r="A73" s="26" t="s">
        <v>62</v>
      </c>
      <c r="B73" s="11" t="s">
        <v>60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</row>
    <row r="74" spans="1:17" ht="80.25">
      <c r="A74" s="23"/>
      <c r="B74" s="11" t="s">
        <v>45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</row>
    <row r="75" spans="1:17" s="55" customFormat="1" ht="69">
      <c r="A75" s="25" t="s">
        <v>63</v>
      </c>
      <c r="B75" s="19" t="s">
        <v>60</v>
      </c>
      <c r="C75" s="63">
        <v>217.91200000000001</v>
      </c>
      <c r="D75" s="63">
        <f>SUM(C75*103/100)</f>
        <v>224.44936000000001</v>
      </c>
      <c r="E75" s="63">
        <f>SUM(D75*101.9/100)</f>
        <v>228.71389784000002</v>
      </c>
      <c r="F75" s="63">
        <f>SUM(E75*102.8/100)</f>
        <v>235.11788697951999</v>
      </c>
      <c r="G75" s="63">
        <f>SUM(F75*103.8/100)</f>
        <v>244.05236668474174</v>
      </c>
      <c r="H75" s="63">
        <f>SUM(G75*103.6/100)</f>
        <v>252.83825188539242</v>
      </c>
      <c r="I75" s="63">
        <f>SUM(H75*101.8/100)</f>
        <v>257.38934041932947</v>
      </c>
      <c r="J75" s="63">
        <f>SUM(I75*108/100)</f>
        <v>277.98048765287581</v>
      </c>
      <c r="K75" s="63">
        <f>SUM(J75*110/100)</f>
        <v>305.77853641816341</v>
      </c>
      <c r="L75" s="63">
        <f>SUM(K75*103/100)</f>
        <v>314.95189251070832</v>
      </c>
      <c r="M75" s="63">
        <f>SUM(L75*107/100)</f>
        <v>336.99852498645794</v>
      </c>
      <c r="N75" s="63">
        <f>SUM(M75*108/100)</f>
        <v>363.95840698537461</v>
      </c>
      <c r="O75" s="63">
        <f>SUM(N75*110/100)</f>
        <v>400.35424768391204</v>
      </c>
      <c r="P75" s="63">
        <f>SUM(O75*103.9/100)</f>
        <v>415.96806334358467</v>
      </c>
      <c r="Q75" s="63">
        <f>SUM(P75*108/100)</f>
        <v>449.2455084110714</v>
      </c>
    </row>
    <row r="76" spans="1:17" ht="80.25">
      <c r="A76" s="23"/>
      <c r="B76" s="11" t="s">
        <v>45</v>
      </c>
      <c r="C76" s="54">
        <v>152.33000000000001</v>
      </c>
      <c r="D76" s="52">
        <f>SUM(D75/C75*100)</f>
        <v>103</v>
      </c>
      <c r="E76" s="52">
        <f t="shared" ref="E76:Q76" si="34">SUM(E75/D75*100)</f>
        <v>101.89999999999999</v>
      </c>
      <c r="F76" s="52">
        <f t="shared" si="34"/>
        <v>102.79999999999998</v>
      </c>
      <c r="G76" s="52">
        <f t="shared" si="34"/>
        <v>103.8</v>
      </c>
      <c r="H76" s="52">
        <f t="shared" si="34"/>
        <v>103.59999999999998</v>
      </c>
      <c r="I76" s="52">
        <f t="shared" si="34"/>
        <v>101.8</v>
      </c>
      <c r="J76" s="52">
        <f t="shared" si="34"/>
        <v>107.99999999999999</v>
      </c>
      <c r="K76" s="52">
        <f t="shared" si="34"/>
        <v>110.00000000000001</v>
      </c>
      <c r="L76" s="52">
        <f t="shared" si="34"/>
        <v>103</v>
      </c>
      <c r="M76" s="52">
        <f t="shared" si="34"/>
        <v>107</v>
      </c>
      <c r="N76" s="52">
        <f t="shared" si="34"/>
        <v>108</v>
      </c>
      <c r="O76" s="52">
        <f t="shared" si="34"/>
        <v>109.99999999999999</v>
      </c>
      <c r="P76" s="52">
        <f t="shared" si="34"/>
        <v>103.90000000000002</v>
      </c>
      <c r="Q76" s="52">
        <f t="shared" si="34"/>
        <v>107.99999999999999</v>
      </c>
    </row>
    <row r="77" spans="1:17" ht="69">
      <c r="A77" s="26" t="s">
        <v>64</v>
      </c>
      <c r="B77" s="11" t="s">
        <v>60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</row>
    <row r="78" spans="1:17" ht="80.25">
      <c r="A78" s="23"/>
      <c r="B78" s="11" t="s">
        <v>45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 ht="69">
      <c r="A79" s="33" t="s">
        <v>65</v>
      </c>
      <c r="B79" s="12" t="s">
        <v>60</v>
      </c>
      <c r="C79" s="44">
        <v>1.7490000000000001</v>
      </c>
      <c r="D79" s="52">
        <f>SUM(C79*103/100)</f>
        <v>1.8014700000000001</v>
      </c>
      <c r="E79" s="52">
        <f>SUM(D79*103.6/100)</f>
        <v>1.86632292</v>
      </c>
      <c r="F79" s="52">
        <f>SUM(E79*107.8/100)</f>
        <v>2.0118961077600002</v>
      </c>
      <c r="G79" s="52">
        <f>SUM(F79*103.8/100)</f>
        <v>2.0883481598548799</v>
      </c>
      <c r="H79" s="52">
        <f>SUM(G79*109.7/100)</f>
        <v>2.2909179313608035</v>
      </c>
      <c r="I79" s="52">
        <f>SUM(H79*110.2/100)</f>
        <v>2.5245915603596054</v>
      </c>
      <c r="J79" s="52">
        <f>SUM(I79*112/100)</f>
        <v>2.827542547602758</v>
      </c>
      <c r="K79" s="52">
        <f>SUM(J79*108.1/100)</f>
        <v>3.0565734939585814</v>
      </c>
      <c r="L79" s="52">
        <f>SUM(K79*109.5/100)</f>
        <v>3.3469479758846465</v>
      </c>
      <c r="M79" s="52">
        <f>SUM(L79*106.3/100)</f>
        <v>3.557805698365379</v>
      </c>
      <c r="N79" s="52">
        <f>SUM(M79*107.2/100)</f>
        <v>3.8139677086476866</v>
      </c>
      <c r="O79" s="52">
        <f>SUM(N79*109.1/100)</f>
        <v>4.1610387701346259</v>
      </c>
      <c r="P79" s="52">
        <f>SUM(O79*109.2/100)</f>
        <v>4.5438543369870112</v>
      </c>
      <c r="Q79" s="52">
        <f>SUM(P79*102.9/100)</f>
        <v>4.6756261127596348</v>
      </c>
    </row>
    <row r="80" spans="1:17" ht="80.25">
      <c r="A80" s="23"/>
      <c r="B80" s="11" t="s">
        <v>45</v>
      </c>
      <c r="C80" s="54">
        <v>134.79</v>
      </c>
      <c r="D80" s="52">
        <f>SUM(D79/C79*100)</f>
        <v>103</v>
      </c>
      <c r="E80" s="52">
        <f t="shared" ref="E80:Q80" si="35">SUM(E79/D79*100)</f>
        <v>103.60000000000001</v>
      </c>
      <c r="F80" s="52">
        <f t="shared" si="35"/>
        <v>107.80000000000001</v>
      </c>
      <c r="G80" s="52">
        <f t="shared" si="35"/>
        <v>103.79999999999998</v>
      </c>
      <c r="H80" s="52">
        <f t="shared" si="35"/>
        <v>109.70000000000002</v>
      </c>
      <c r="I80" s="52">
        <f t="shared" si="35"/>
        <v>110.2</v>
      </c>
      <c r="J80" s="52">
        <f t="shared" si="35"/>
        <v>111.99999999999999</v>
      </c>
      <c r="K80" s="52">
        <f t="shared" si="35"/>
        <v>108.1</v>
      </c>
      <c r="L80" s="52">
        <f t="shared" si="35"/>
        <v>109.5</v>
      </c>
      <c r="M80" s="52">
        <f t="shared" si="35"/>
        <v>106.3</v>
      </c>
      <c r="N80" s="52">
        <f t="shared" si="35"/>
        <v>107.2</v>
      </c>
      <c r="O80" s="52">
        <f t="shared" si="35"/>
        <v>109.1</v>
      </c>
      <c r="P80" s="52">
        <f t="shared" si="35"/>
        <v>109.19999999999999</v>
      </c>
      <c r="Q80" s="52">
        <f t="shared" si="35"/>
        <v>102.90000000000002</v>
      </c>
    </row>
    <row r="81" spans="1:17" s="55" customFormat="1" ht="69">
      <c r="A81" s="25" t="s">
        <v>66</v>
      </c>
      <c r="B81" s="19" t="s">
        <v>60</v>
      </c>
      <c r="C81" s="54">
        <v>4.5999999999999999E-2</v>
      </c>
      <c r="D81" s="65">
        <f>SUM(C81*103/100)</f>
        <v>4.7379999999999999E-2</v>
      </c>
      <c r="E81" s="65">
        <f>SUM(D81*105.1/100)</f>
        <v>4.9796379999999994E-2</v>
      </c>
      <c r="F81" s="65">
        <f>SUM(E81*107/100)</f>
        <v>5.3282126599999993E-2</v>
      </c>
      <c r="G81" s="65">
        <f t="shared" ref="G81:L81" si="36">SUM(F81*103/100)</f>
        <v>5.4880590397999994E-2</v>
      </c>
      <c r="H81" s="65">
        <f>SUM(G81*109.1/100)</f>
        <v>5.9874724124217994E-2</v>
      </c>
      <c r="I81" s="65">
        <f>SUM(H81*110.8/100)</f>
        <v>6.6341194329633535E-2</v>
      </c>
      <c r="J81" s="65">
        <f>SUM(I81*112/100)</f>
        <v>7.4302137649189554E-2</v>
      </c>
      <c r="K81" s="65">
        <f>SUM(J81*111/100)</f>
        <v>8.247537279060041E-2</v>
      </c>
      <c r="L81" s="65">
        <f t="shared" si="36"/>
        <v>8.4949633974318428E-2</v>
      </c>
      <c r="M81" s="65">
        <f>SUM(L81*113/100)</f>
        <v>9.5993086390979823E-2</v>
      </c>
      <c r="N81" s="65">
        <f>SUM(M81*107/100)</f>
        <v>0.10271260243834841</v>
      </c>
      <c r="O81" s="65">
        <f>SUM(N81*105.8/100)</f>
        <v>0.10866993337977261</v>
      </c>
      <c r="P81" s="65">
        <f>SUM(O81*104/100)</f>
        <v>0.11301673071496351</v>
      </c>
      <c r="Q81" s="65">
        <f>SUM(P81*112/100)</f>
        <v>0.12657873840075914</v>
      </c>
    </row>
    <row r="82" spans="1:17" ht="80.25">
      <c r="A82" s="23"/>
      <c r="B82" s="11" t="s">
        <v>45</v>
      </c>
      <c r="C82" s="54">
        <v>99.56</v>
      </c>
      <c r="D82" s="52">
        <f>SUM(D81/C81*100)</f>
        <v>103</v>
      </c>
      <c r="E82" s="52">
        <f t="shared" ref="E82:Q82" si="37">SUM(E81/D81*100)</f>
        <v>105.1</v>
      </c>
      <c r="F82" s="52">
        <f t="shared" si="37"/>
        <v>107</v>
      </c>
      <c r="G82" s="52">
        <f t="shared" si="37"/>
        <v>103</v>
      </c>
      <c r="H82" s="52">
        <f t="shared" si="37"/>
        <v>109.1</v>
      </c>
      <c r="I82" s="52">
        <f t="shared" si="37"/>
        <v>110.79999999999998</v>
      </c>
      <c r="J82" s="52">
        <f t="shared" si="37"/>
        <v>111.99999999999999</v>
      </c>
      <c r="K82" s="52">
        <f t="shared" si="37"/>
        <v>111.00000000000001</v>
      </c>
      <c r="L82" s="52">
        <f t="shared" si="37"/>
        <v>103</v>
      </c>
      <c r="M82" s="52">
        <f t="shared" si="37"/>
        <v>112.99999999999999</v>
      </c>
      <c r="N82" s="52">
        <f t="shared" si="37"/>
        <v>107</v>
      </c>
      <c r="O82" s="52">
        <f t="shared" si="37"/>
        <v>105.79999999999998</v>
      </c>
      <c r="P82" s="52">
        <f t="shared" si="37"/>
        <v>104</v>
      </c>
      <c r="Q82" s="52">
        <f t="shared" si="37"/>
        <v>112.00000000000001</v>
      </c>
    </row>
    <row r="83" spans="1:17" ht="69">
      <c r="A83" s="26" t="s">
        <v>67</v>
      </c>
      <c r="B83" s="11" t="s">
        <v>60</v>
      </c>
      <c r="C83" s="44">
        <v>1.0820000000000001</v>
      </c>
      <c r="D83" s="52">
        <f>SUM(C83*103/100)</f>
        <v>1.1144600000000002</v>
      </c>
      <c r="E83" s="52">
        <f>SUM(D83*105/100)</f>
        <v>1.1701830000000002</v>
      </c>
      <c r="F83" s="52">
        <f>SUM(E83*105.6/100)</f>
        <v>1.2357132480000002</v>
      </c>
      <c r="G83" s="52">
        <f>SUM(F83*109/100)</f>
        <v>1.34692744032</v>
      </c>
      <c r="H83" s="52">
        <f>SUM(G83*111/100)</f>
        <v>1.4950894587551999</v>
      </c>
      <c r="I83" s="52">
        <f>SUM(H83*113/100)</f>
        <v>1.689451088393376</v>
      </c>
      <c r="J83" s="52">
        <f t="shared" ref="J83:L83" si="38">SUM(I83*103/100)</f>
        <v>1.7401346210451771</v>
      </c>
      <c r="K83" s="52">
        <f>SUM(J83*101.2/100)</f>
        <v>1.7610162364977193</v>
      </c>
      <c r="L83" s="52">
        <f t="shared" si="38"/>
        <v>1.813846723592651</v>
      </c>
      <c r="M83" s="52">
        <f>SUM(L83*104.6/100)</f>
        <v>1.8972836728779128</v>
      </c>
      <c r="N83" s="52">
        <f>SUM(M83*105.8/100)</f>
        <v>2.0073261259048318</v>
      </c>
      <c r="O83" s="52">
        <f>SUM(N83*105.6/100)</f>
        <v>2.1197363889555025</v>
      </c>
      <c r="P83" s="52">
        <f>SUM(O83*107.2/100)</f>
        <v>2.2723574089602989</v>
      </c>
      <c r="Q83" s="52">
        <f>SUM(P83*108.9/100)</f>
        <v>2.4745972183577658</v>
      </c>
    </row>
    <row r="84" spans="1:17" ht="80.25">
      <c r="A84" s="23"/>
      <c r="B84" s="11" t="s">
        <v>45</v>
      </c>
      <c r="C84" s="54">
        <v>98</v>
      </c>
      <c r="D84" s="52">
        <f>SUM(D83/C83*100)</f>
        <v>103.00000000000003</v>
      </c>
      <c r="E84" s="52">
        <f t="shared" ref="E84:Q84" si="39">SUM(E83/D83*100)</f>
        <v>105</v>
      </c>
      <c r="F84" s="52">
        <f t="shared" si="39"/>
        <v>105.60000000000001</v>
      </c>
      <c r="G84" s="52">
        <f t="shared" si="39"/>
        <v>108.99999999999999</v>
      </c>
      <c r="H84" s="52">
        <f t="shared" si="39"/>
        <v>110.99999999999999</v>
      </c>
      <c r="I84" s="52">
        <f t="shared" si="39"/>
        <v>113.00000000000001</v>
      </c>
      <c r="J84" s="52">
        <f t="shared" si="39"/>
        <v>103</v>
      </c>
      <c r="K84" s="52">
        <f t="shared" si="39"/>
        <v>101.2</v>
      </c>
      <c r="L84" s="52">
        <f t="shared" si="39"/>
        <v>103</v>
      </c>
      <c r="M84" s="52">
        <f t="shared" si="39"/>
        <v>104.59999999999998</v>
      </c>
      <c r="N84" s="52">
        <f t="shared" si="39"/>
        <v>105.80000000000001</v>
      </c>
      <c r="O84" s="52">
        <f t="shared" si="39"/>
        <v>105.60000000000001</v>
      </c>
      <c r="P84" s="52">
        <f t="shared" si="39"/>
        <v>107.2</v>
      </c>
      <c r="Q84" s="52">
        <f t="shared" si="39"/>
        <v>108.90000000000002</v>
      </c>
    </row>
    <row r="85" spans="1:17" ht="69">
      <c r="A85" s="26" t="s">
        <v>68</v>
      </c>
      <c r="B85" s="11" t="s">
        <v>60</v>
      </c>
      <c r="C85" s="44">
        <v>2.4E-2</v>
      </c>
      <c r="D85" s="62">
        <f>SUM(C85*103/100)</f>
        <v>2.4719999999999999E-2</v>
      </c>
      <c r="E85" s="62">
        <f t="shared" ref="E85:Q85" si="40">SUM(D85*103/100)</f>
        <v>2.5461600000000001E-2</v>
      </c>
      <c r="F85" s="62">
        <f t="shared" si="40"/>
        <v>2.6225447999999998E-2</v>
      </c>
      <c r="G85" s="62">
        <f t="shared" si="40"/>
        <v>2.7012211439999999E-2</v>
      </c>
      <c r="H85" s="62">
        <f t="shared" si="40"/>
        <v>2.7822577783199999E-2</v>
      </c>
      <c r="I85" s="62">
        <f t="shared" si="40"/>
        <v>2.8657255116696E-2</v>
      </c>
      <c r="J85" s="62">
        <f t="shared" si="40"/>
        <v>2.9516972770196877E-2</v>
      </c>
      <c r="K85" s="62">
        <f t="shared" si="40"/>
        <v>3.0402481953302782E-2</v>
      </c>
      <c r="L85" s="62">
        <f t="shared" si="40"/>
        <v>3.1314556411901867E-2</v>
      </c>
      <c r="M85" s="62">
        <f t="shared" si="40"/>
        <v>3.2253993104258923E-2</v>
      </c>
      <c r="N85" s="62">
        <f t="shared" si="40"/>
        <v>3.322161289738669E-2</v>
      </c>
      <c r="O85" s="62">
        <f t="shared" si="40"/>
        <v>3.4218261284308292E-2</v>
      </c>
      <c r="P85" s="62">
        <f t="shared" si="40"/>
        <v>3.5244809122837541E-2</v>
      </c>
      <c r="Q85" s="62">
        <f t="shared" si="40"/>
        <v>3.6302153396522666E-2</v>
      </c>
    </row>
    <row r="86" spans="1:17">
      <c r="A86" s="34" t="s">
        <v>69</v>
      </c>
      <c r="B86" s="78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>
      <c r="A87" s="35" t="s">
        <v>70</v>
      </c>
      <c r="B87" s="78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 ht="22.5">
      <c r="A88" s="2" t="s">
        <v>71</v>
      </c>
      <c r="B88" s="13" t="s">
        <v>32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 ht="33.75">
      <c r="A89" s="1" t="s">
        <v>72</v>
      </c>
      <c r="B89" s="14" t="s">
        <v>32</v>
      </c>
      <c r="C89" s="44">
        <v>436</v>
      </c>
      <c r="D89" s="44">
        <v>422</v>
      </c>
      <c r="E89" s="45">
        <f>SUM(D89*103/100)</f>
        <v>434.66</v>
      </c>
      <c r="F89" s="45">
        <f t="shared" ref="F89:Q89" si="41">SUM(E89*103/100)</f>
        <v>447.69980000000004</v>
      </c>
      <c r="G89" s="45">
        <f t="shared" si="41"/>
        <v>461.13079400000004</v>
      </c>
      <c r="H89" s="45">
        <f t="shared" si="41"/>
        <v>474.96471782000003</v>
      </c>
      <c r="I89" s="45">
        <f t="shared" si="41"/>
        <v>489.2136593546</v>
      </c>
      <c r="J89" s="45">
        <f t="shared" si="41"/>
        <v>503.89006913523804</v>
      </c>
      <c r="K89" s="45">
        <f t="shared" si="41"/>
        <v>519.00677120929515</v>
      </c>
      <c r="L89" s="45">
        <f t="shared" si="41"/>
        <v>534.57697434557394</v>
      </c>
      <c r="M89" s="45">
        <f t="shared" si="41"/>
        <v>550.61428357594116</v>
      </c>
      <c r="N89" s="45">
        <f t="shared" si="41"/>
        <v>567.13271208321942</v>
      </c>
      <c r="O89" s="45">
        <f t="shared" si="41"/>
        <v>584.14669344571598</v>
      </c>
      <c r="P89" s="45">
        <f t="shared" si="41"/>
        <v>601.67109424908745</v>
      </c>
      <c r="Q89" s="45">
        <f t="shared" si="41"/>
        <v>619.72122707656013</v>
      </c>
    </row>
    <row r="90" spans="1:17" ht="22.5">
      <c r="A90" s="36" t="s">
        <v>73</v>
      </c>
      <c r="B90" s="15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>
      <c r="A91" s="36" t="s">
        <v>74</v>
      </c>
      <c r="B91" s="14" t="s">
        <v>32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</row>
    <row r="92" spans="1:17">
      <c r="A92" s="36" t="s">
        <v>75</v>
      </c>
      <c r="B92" s="14" t="s">
        <v>32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</row>
    <row r="93" spans="1:17" ht="22.5">
      <c r="A93" s="36" t="s">
        <v>76</v>
      </c>
      <c r="B93" s="14" t="s">
        <v>32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</row>
    <row r="94" spans="1:17">
      <c r="A94" s="36" t="s">
        <v>77</v>
      </c>
      <c r="B94" s="14" t="s">
        <v>32</v>
      </c>
      <c r="C94" s="44">
        <v>69</v>
      </c>
      <c r="D94" s="44">
        <v>69</v>
      </c>
      <c r="E94" s="45">
        <f>SUM(D94*103/100)</f>
        <v>71.069999999999993</v>
      </c>
      <c r="F94" s="45">
        <f t="shared" ref="F94:Q94" si="42">SUM(E94*103/100)</f>
        <v>73.202099999999987</v>
      </c>
      <c r="G94" s="45">
        <f t="shared" si="42"/>
        <v>75.398162999999983</v>
      </c>
      <c r="H94" s="45">
        <f t="shared" si="42"/>
        <v>77.660107889999978</v>
      </c>
      <c r="I94" s="45">
        <f t="shared" si="42"/>
        <v>79.98991112669998</v>
      </c>
      <c r="J94" s="45">
        <f t="shared" si="42"/>
        <v>82.38960846050098</v>
      </c>
      <c r="K94" s="45">
        <f t="shared" si="42"/>
        <v>84.861296714316012</v>
      </c>
      <c r="L94" s="45">
        <f t="shared" si="42"/>
        <v>87.407135615745503</v>
      </c>
      <c r="M94" s="45">
        <f t="shared" si="42"/>
        <v>90.029349684217863</v>
      </c>
      <c r="N94" s="45">
        <f t="shared" si="42"/>
        <v>92.730230174744392</v>
      </c>
      <c r="O94" s="45">
        <f t="shared" si="42"/>
        <v>95.512137079986729</v>
      </c>
      <c r="P94" s="45">
        <f t="shared" si="42"/>
        <v>98.377501192386333</v>
      </c>
      <c r="Q94" s="45">
        <f t="shared" si="42"/>
        <v>101.32882622815792</v>
      </c>
    </row>
    <row r="95" spans="1:17" ht="56.25">
      <c r="A95" s="36" t="s">
        <v>78</v>
      </c>
      <c r="B95" s="14" t="s">
        <v>32</v>
      </c>
      <c r="C95" s="44">
        <v>156</v>
      </c>
      <c r="D95" s="44">
        <v>156</v>
      </c>
      <c r="E95" s="45">
        <f>SUM(D95*103/100)</f>
        <v>160.68</v>
      </c>
      <c r="F95" s="45">
        <f t="shared" ref="F95:Q95" si="43">SUM(E95*103/100)</f>
        <v>165.50040000000001</v>
      </c>
      <c r="G95" s="45">
        <f t="shared" si="43"/>
        <v>170.46541199999999</v>
      </c>
      <c r="H95" s="45">
        <f t="shared" si="43"/>
        <v>175.57937436</v>
      </c>
      <c r="I95" s="45">
        <f t="shared" si="43"/>
        <v>180.84675559079997</v>
      </c>
      <c r="J95" s="45">
        <f t="shared" si="43"/>
        <v>186.27215825852397</v>
      </c>
      <c r="K95" s="45">
        <f t="shared" si="43"/>
        <v>191.86032300627969</v>
      </c>
      <c r="L95" s="45">
        <f t="shared" si="43"/>
        <v>197.61613269646807</v>
      </c>
      <c r="M95" s="45">
        <f t="shared" si="43"/>
        <v>203.54461667736211</v>
      </c>
      <c r="N95" s="45">
        <f t="shared" si="43"/>
        <v>209.65095517768299</v>
      </c>
      <c r="O95" s="45">
        <f t="shared" si="43"/>
        <v>215.9404838330135</v>
      </c>
      <c r="P95" s="45">
        <f t="shared" si="43"/>
        <v>222.41869834800389</v>
      </c>
      <c r="Q95" s="45">
        <f t="shared" si="43"/>
        <v>229.09125929844402</v>
      </c>
    </row>
    <row r="96" spans="1:17">
      <c r="A96" s="36" t="s">
        <v>79</v>
      </c>
      <c r="B96" s="14" t="s">
        <v>32</v>
      </c>
      <c r="C96" s="44">
        <v>13</v>
      </c>
      <c r="D96" s="44">
        <v>13</v>
      </c>
      <c r="E96" s="45">
        <f t="shared" ref="E96:Q101" si="44">SUM(D96*103/100)</f>
        <v>13.39</v>
      </c>
      <c r="F96" s="45">
        <f t="shared" si="44"/>
        <v>13.791700000000001</v>
      </c>
      <c r="G96" s="45">
        <f t="shared" si="44"/>
        <v>14.205451</v>
      </c>
      <c r="H96" s="45">
        <f t="shared" si="44"/>
        <v>14.63161453</v>
      </c>
      <c r="I96" s="45">
        <f t="shared" si="44"/>
        <v>15.070562965900001</v>
      </c>
      <c r="J96" s="45">
        <f t="shared" si="44"/>
        <v>15.522679854877001</v>
      </c>
      <c r="K96" s="45">
        <f t="shared" si="44"/>
        <v>15.988360250523311</v>
      </c>
      <c r="L96" s="45">
        <f t="shared" si="44"/>
        <v>16.468011058039011</v>
      </c>
      <c r="M96" s="45">
        <f t="shared" si="44"/>
        <v>16.962051389780182</v>
      </c>
      <c r="N96" s="45">
        <f t="shared" si="44"/>
        <v>17.470912931473588</v>
      </c>
      <c r="O96" s="45">
        <f t="shared" si="44"/>
        <v>17.995040319417797</v>
      </c>
      <c r="P96" s="45">
        <f t="shared" si="44"/>
        <v>18.53489152900033</v>
      </c>
      <c r="Q96" s="45">
        <f t="shared" si="44"/>
        <v>19.090938274870339</v>
      </c>
    </row>
    <row r="97" spans="1:17" ht="45">
      <c r="A97" s="36" t="s">
        <v>80</v>
      </c>
      <c r="B97" s="14" t="s">
        <v>32</v>
      </c>
      <c r="C97" s="44">
        <v>0</v>
      </c>
      <c r="D97" s="44">
        <v>0</v>
      </c>
      <c r="E97" s="45">
        <f t="shared" si="44"/>
        <v>0</v>
      </c>
      <c r="F97" s="45">
        <f t="shared" si="44"/>
        <v>0</v>
      </c>
      <c r="G97" s="45">
        <f t="shared" si="44"/>
        <v>0</v>
      </c>
      <c r="H97" s="45">
        <f t="shared" si="44"/>
        <v>0</v>
      </c>
      <c r="I97" s="45">
        <f t="shared" si="44"/>
        <v>0</v>
      </c>
      <c r="J97" s="45">
        <f t="shared" si="44"/>
        <v>0</v>
      </c>
      <c r="K97" s="45">
        <f t="shared" si="44"/>
        <v>0</v>
      </c>
      <c r="L97" s="45">
        <f t="shared" si="44"/>
        <v>0</v>
      </c>
      <c r="M97" s="45">
        <f t="shared" si="44"/>
        <v>0</v>
      </c>
      <c r="N97" s="45">
        <f t="shared" si="44"/>
        <v>0</v>
      </c>
      <c r="O97" s="45">
        <f t="shared" si="44"/>
        <v>0</v>
      </c>
      <c r="P97" s="45">
        <f t="shared" si="44"/>
        <v>0</v>
      </c>
      <c r="Q97" s="45">
        <f t="shared" si="44"/>
        <v>0</v>
      </c>
    </row>
    <row r="98" spans="1:17" ht="22.5">
      <c r="A98" s="36" t="s">
        <v>81</v>
      </c>
      <c r="B98" s="14" t="s">
        <v>32</v>
      </c>
      <c r="C98" s="44">
        <v>0</v>
      </c>
      <c r="D98" s="44">
        <v>0</v>
      </c>
      <c r="E98" s="45">
        <f t="shared" si="44"/>
        <v>0</v>
      </c>
      <c r="F98" s="45">
        <f t="shared" si="44"/>
        <v>0</v>
      </c>
      <c r="G98" s="45">
        <f t="shared" si="44"/>
        <v>0</v>
      </c>
      <c r="H98" s="45">
        <f t="shared" si="44"/>
        <v>0</v>
      </c>
      <c r="I98" s="45">
        <f t="shared" si="44"/>
        <v>0</v>
      </c>
      <c r="J98" s="45">
        <f t="shared" si="44"/>
        <v>0</v>
      </c>
      <c r="K98" s="45">
        <f t="shared" si="44"/>
        <v>0</v>
      </c>
      <c r="L98" s="45">
        <f t="shared" si="44"/>
        <v>0</v>
      </c>
      <c r="M98" s="45">
        <f t="shared" si="44"/>
        <v>0</v>
      </c>
      <c r="N98" s="45">
        <f t="shared" si="44"/>
        <v>0</v>
      </c>
      <c r="O98" s="45">
        <f t="shared" si="44"/>
        <v>0</v>
      </c>
      <c r="P98" s="45">
        <f t="shared" si="44"/>
        <v>0</v>
      </c>
      <c r="Q98" s="45">
        <f t="shared" si="44"/>
        <v>0</v>
      </c>
    </row>
    <row r="99" spans="1:17" ht="45">
      <c r="A99" s="1" t="s">
        <v>82</v>
      </c>
      <c r="B99" s="14" t="s">
        <v>4</v>
      </c>
      <c r="C99" s="44">
        <v>0</v>
      </c>
      <c r="D99" s="44">
        <v>0</v>
      </c>
      <c r="E99" s="45">
        <f t="shared" si="44"/>
        <v>0</v>
      </c>
      <c r="F99" s="45">
        <f t="shared" si="44"/>
        <v>0</v>
      </c>
      <c r="G99" s="45">
        <f t="shared" si="44"/>
        <v>0</v>
      </c>
      <c r="H99" s="45">
        <f t="shared" si="44"/>
        <v>0</v>
      </c>
      <c r="I99" s="45">
        <f t="shared" si="44"/>
        <v>0</v>
      </c>
      <c r="J99" s="45">
        <f t="shared" si="44"/>
        <v>0</v>
      </c>
      <c r="K99" s="45">
        <f t="shared" si="44"/>
        <v>0</v>
      </c>
      <c r="L99" s="45">
        <f t="shared" si="44"/>
        <v>0</v>
      </c>
      <c r="M99" s="45">
        <f t="shared" si="44"/>
        <v>0</v>
      </c>
      <c r="N99" s="45">
        <f t="shared" si="44"/>
        <v>0</v>
      </c>
      <c r="O99" s="45">
        <f t="shared" si="44"/>
        <v>0</v>
      </c>
      <c r="P99" s="45">
        <f t="shared" si="44"/>
        <v>0</v>
      </c>
      <c r="Q99" s="45">
        <f t="shared" si="44"/>
        <v>0</v>
      </c>
    </row>
    <row r="100" spans="1:17" ht="56.25">
      <c r="A100" s="1" t="s">
        <v>83</v>
      </c>
      <c r="B100" s="14" t="s">
        <v>4</v>
      </c>
      <c r="C100" s="44">
        <v>1976</v>
      </c>
      <c r="D100" s="44">
        <v>1976</v>
      </c>
      <c r="E100" s="45">
        <f t="shared" si="44"/>
        <v>2035.28</v>
      </c>
      <c r="F100" s="45">
        <f t="shared" si="44"/>
        <v>2096.3384000000001</v>
      </c>
      <c r="G100" s="45">
        <f t="shared" si="44"/>
        <v>2159.228552</v>
      </c>
      <c r="H100" s="45">
        <f t="shared" si="44"/>
        <v>2224.00540856</v>
      </c>
      <c r="I100" s="45">
        <f t="shared" si="44"/>
        <v>2290.7255708168</v>
      </c>
      <c r="J100" s="45">
        <f t="shared" si="44"/>
        <v>2359.4473379413039</v>
      </c>
      <c r="K100" s="45">
        <f t="shared" si="44"/>
        <v>2430.2307580795432</v>
      </c>
      <c r="L100" s="45">
        <f t="shared" si="44"/>
        <v>2503.1376808219297</v>
      </c>
      <c r="M100" s="45">
        <f t="shared" si="44"/>
        <v>2578.2318112465878</v>
      </c>
      <c r="N100" s="45">
        <f t="shared" si="44"/>
        <v>2655.5787655839854</v>
      </c>
      <c r="O100" s="45">
        <f t="shared" si="44"/>
        <v>2735.2461285515046</v>
      </c>
      <c r="P100" s="45">
        <f t="shared" si="44"/>
        <v>2817.3035124080502</v>
      </c>
      <c r="Q100" s="45">
        <f t="shared" si="44"/>
        <v>2901.8226177802917</v>
      </c>
    </row>
    <row r="101" spans="1:17" ht="24">
      <c r="A101" s="2" t="s">
        <v>84</v>
      </c>
      <c r="B101" s="13" t="s">
        <v>14</v>
      </c>
      <c r="C101" s="44">
        <v>0</v>
      </c>
      <c r="D101" s="44">
        <v>0</v>
      </c>
      <c r="E101" s="45">
        <f t="shared" si="44"/>
        <v>0</v>
      </c>
      <c r="F101" s="45">
        <f t="shared" si="44"/>
        <v>0</v>
      </c>
      <c r="G101" s="45">
        <f t="shared" si="44"/>
        <v>0</v>
      </c>
      <c r="H101" s="45">
        <f t="shared" si="44"/>
        <v>0</v>
      </c>
      <c r="I101" s="45">
        <f t="shared" si="44"/>
        <v>0</v>
      </c>
      <c r="J101" s="45">
        <f t="shared" si="44"/>
        <v>0</v>
      </c>
      <c r="K101" s="45">
        <f t="shared" si="44"/>
        <v>0</v>
      </c>
      <c r="L101" s="45">
        <f t="shared" si="44"/>
        <v>0</v>
      </c>
      <c r="M101" s="45">
        <f t="shared" si="44"/>
        <v>0</v>
      </c>
      <c r="N101" s="45">
        <f t="shared" si="44"/>
        <v>0</v>
      </c>
      <c r="O101" s="45">
        <f t="shared" si="44"/>
        <v>0</v>
      </c>
      <c r="P101" s="45">
        <f t="shared" si="44"/>
        <v>0</v>
      </c>
      <c r="Q101" s="45">
        <f t="shared" si="44"/>
        <v>0</v>
      </c>
    </row>
    <row r="102" spans="1:17" ht="24">
      <c r="A102" s="1" t="s">
        <v>85</v>
      </c>
      <c r="B102" s="14" t="s">
        <v>14</v>
      </c>
      <c r="C102" s="52">
        <v>9593.3430000000008</v>
      </c>
      <c r="D102" s="52">
        <f>SUM(C102*101/100)</f>
        <v>9689.2764299999999</v>
      </c>
      <c r="E102" s="52">
        <f t="shared" ref="E102:Q102" si="45">SUM(D102*101/100)</f>
        <v>9786.1691943000005</v>
      </c>
      <c r="F102" s="52">
        <f t="shared" si="45"/>
        <v>9884.0308862430011</v>
      </c>
      <c r="G102" s="52">
        <f t="shared" si="45"/>
        <v>9982.8711951054302</v>
      </c>
      <c r="H102" s="52">
        <f t="shared" si="45"/>
        <v>10082.699907056485</v>
      </c>
      <c r="I102" s="52">
        <f t="shared" si="45"/>
        <v>10183.52690612705</v>
      </c>
      <c r="J102" s="52">
        <f t="shared" si="45"/>
        <v>10285.36217518832</v>
      </c>
      <c r="K102" s="52">
        <f t="shared" si="45"/>
        <v>10388.215796940203</v>
      </c>
      <c r="L102" s="52">
        <f t="shared" si="45"/>
        <v>10492.097954909606</v>
      </c>
      <c r="M102" s="52">
        <f t="shared" si="45"/>
        <v>10597.018934458702</v>
      </c>
      <c r="N102" s="52">
        <f t="shared" si="45"/>
        <v>10702.989123803289</v>
      </c>
      <c r="O102" s="52">
        <f t="shared" si="45"/>
        <v>10810.019015041322</v>
      </c>
      <c r="P102" s="52">
        <f t="shared" si="45"/>
        <v>10918.119205191737</v>
      </c>
      <c r="Q102" s="52">
        <f t="shared" si="45"/>
        <v>11027.300397243653</v>
      </c>
    </row>
    <row r="103" spans="1:17" ht="22.5">
      <c r="A103" s="36" t="s">
        <v>86</v>
      </c>
      <c r="B103" s="15"/>
      <c r="C103" s="44"/>
      <c r="D103" s="44"/>
      <c r="E103" s="45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 ht="24">
      <c r="A104" s="36" t="s">
        <v>74</v>
      </c>
      <c r="B104" s="14" t="s">
        <v>14</v>
      </c>
      <c r="C104" s="49">
        <v>296.56400000000002</v>
      </c>
      <c r="D104" s="49">
        <f t="shared" ref="D104:Q111" si="46">SUM(C104*101/100)</f>
        <v>299.52964000000003</v>
      </c>
      <c r="E104" s="49">
        <f t="shared" si="46"/>
        <v>302.52493640000006</v>
      </c>
      <c r="F104" s="49">
        <f t="shared" si="46"/>
        <v>305.55018576400005</v>
      </c>
      <c r="G104" s="49">
        <f t="shared" si="46"/>
        <v>308.60568762164007</v>
      </c>
      <c r="H104" s="49">
        <f t="shared" si="46"/>
        <v>311.69174449785646</v>
      </c>
      <c r="I104" s="49">
        <f t="shared" si="46"/>
        <v>314.80866194283504</v>
      </c>
      <c r="J104" s="49">
        <f t="shared" si="46"/>
        <v>317.95674856226339</v>
      </c>
      <c r="K104" s="49">
        <f t="shared" si="46"/>
        <v>321.13631604788606</v>
      </c>
      <c r="L104" s="49">
        <f t="shared" si="46"/>
        <v>324.34767920836492</v>
      </c>
      <c r="M104" s="49">
        <f t="shared" si="46"/>
        <v>327.59115600044856</v>
      </c>
      <c r="N104" s="49">
        <f t="shared" si="46"/>
        <v>330.86706756045305</v>
      </c>
      <c r="O104" s="49">
        <f t="shared" si="46"/>
        <v>334.17573823605761</v>
      </c>
      <c r="P104" s="49">
        <f t="shared" si="46"/>
        <v>337.5174956184182</v>
      </c>
      <c r="Q104" s="49">
        <f t="shared" si="46"/>
        <v>340.89267057460239</v>
      </c>
    </row>
    <row r="105" spans="1:17" ht="24">
      <c r="A105" s="36" t="s">
        <v>75</v>
      </c>
      <c r="B105" s="14" t="s">
        <v>14</v>
      </c>
      <c r="C105" s="44">
        <v>0</v>
      </c>
      <c r="D105" s="44">
        <f t="shared" si="46"/>
        <v>0</v>
      </c>
      <c r="E105" s="44">
        <f t="shared" ref="E105:Q105" si="47">SUM(D105*101/100)</f>
        <v>0</v>
      </c>
      <c r="F105" s="44">
        <f t="shared" si="47"/>
        <v>0</v>
      </c>
      <c r="G105" s="44">
        <f t="shared" si="47"/>
        <v>0</v>
      </c>
      <c r="H105" s="44">
        <f t="shared" si="47"/>
        <v>0</v>
      </c>
      <c r="I105" s="44">
        <f t="shared" si="47"/>
        <v>0</v>
      </c>
      <c r="J105" s="44">
        <f t="shared" si="47"/>
        <v>0</v>
      </c>
      <c r="K105" s="44">
        <f t="shared" si="47"/>
        <v>0</v>
      </c>
      <c r="L105" s="44">
        <f t="shared" si="47"/>
        <v>0</v>
      </c>
      <c r="M105" s="44">
        <f t="shared" si="47"/>
        <v>0</v>
      </c>
      <c r="N105" s="44">
        <f t="shared" si="47"/>
        <v>0</v>
      </c>
      <c r="O105" s="44">
        <f t="shared" si="47"/>
        <v>0</v>
      </c>
      <c r="P105" s="44">
        <f t="shared" si="47"/>
        <v>0</v>
      </c>
      <c r="Q105" s="44">
        <f t="shared" si="47"/>
        <v>0</v>
      </c>
    </row>
    <row r="106" spans="1:17" ht="24">
      <c r="A106" s="33" t="s">
        <v>76</v>
      </c>
      <c r="B106" s="13" t="s">
        <v>14</v>
      </c>
      <c r="C106" s="44">
        <v>45615</v>
      </c>
      <c r="D106" s="44">
        <f t="shared" si="46"/>
        <v>46071.15</v>
      </c>
      <c r="E106" s="52">
        <f t="shared" ref="E106:Q106" si="48">SUM(D106*101/100)</f>
        <v>46531.861500000006</v>
      </c>
      <c r="F106" s="44">
        <f t="shared" si="48"/>
        <v>46997.18011500001</v>
      </c>
      <c r="G106" s="44">
        <f t="shared" si="48"/>
        <v>47467.151916150011</v>
      </c>
      <c r="H106" s="44">
        <f t="shared" si="48"/>
        <v>47941.823435311511</v>
      </c>
      <c r="I106" s="44">
        <f t="shared" si="48"/>
        <v>48421.241669664625</v>
      </c>
      <c r="J106" s="44">
        <f t="shared" si="48"/>
        <v>48905.454086361264</v>
      </c>
      <c r="K106" s="44">
        <f t="shared" si="48"/>
        <v>49394.508627224874</v>
      </c>
      <c r="L106" s="49">
        <f t="shared" si="48"/>
        <v>49888.453713497118</v>
      </c>
      <c r="M106" s="44">
        <f t="shared" si="48"/>
        <v>50387.338250632092</v>
      </c>
      <c r="N106" s="44">
        <f t="shared" si="48"/>
        <v>50891.211633138417</v>
      </c>
      <c r="O106" s="44">
        <f t="shared" si="48"/>
        <v>51400.1237494698</v>
      </c>
      <c r="P106" s="44">
        <f t="shared" si="48"/>
        <v>51914.124986964503</v>
      </c>
      <c r="Q106" s="44">
        <f t="shared" si="48"/>
        <v>52433.266236834141</v>
      </c>
    </row>
    <row r="107" spans="1:17" ht="24">
      <c r="A107" s="36" t="s">
        <v>77</v>
      </c>
      <c r="B107" s="14" t="s">
        <v>14</v>
      </c>
      <c r="C107" s="44">
        <v>341.98200000000003</v>
      </c>
      <c r="D107" s="44">
        <f t="shared" si="46"/>
        <v>345.40181999999999</v>
      </c>
      <c r="E107" s="52">
        <f t="shared" ref="E107:Q107" si="49">SUM(D107*101/100)</f>
        <v>348.85583819999999</v>
      </c>
      <c r="F107" s="44">
        <f t="shared" si="49"/>
        <v>352.34439658199994</v>
      </c>
      <c r="G107" s="44">
        <f t="shared" si="49"/>
        <v>355.86784054781992</v>
      </c>
      <c r="H107" s="52">
        <f t="shared" si="49"/>
        <v>359.42651895329817</v>
      </c>
      <c r="I107" s="52">
        <f t="shared" si="49"/>
        <v>363.02078414283119</v>
      </c>
      <c r="J107" s="52">
        <f t="shared" si="49"/>
        <v>366.65099198425952</v>
      </c>
      <c r="K107" s="52">
        <f t="shared" si="49"/>
        <v>370.31750190410207</v>
      </c>
      <c r="L107" s="52">
        <f t="shared" si="49"/>
        <v>374.02067692314313</v>
      </c>
      <c r="M107" s="52">
        <f t="shared" si="49"/>
        <v>377.76088369237453</v>
      </c>
      <c r="N107" s="52">
        <f t="shared" si="49"/>
        <v>381.53849252929831</v>
      </c>
      <c r="O107" s="52">
        <f t="shared" si="49"/>
        <v>385.35387745459127</v>
      </c>
      <c r="P107" s="52">
        <f t="shared" si="49"/>
        <v>389.20741622913715</v>
      </c>
      <c r="Q107" s="52">
        <f t="shared" si="49"/>
        <v>393.09949039142856</v>
      </c>
    </row>
    <row r="108" spans="1:17" ht="56.25">
      <c r="A108" s="33" t="s">
        <v>78</v>
      </c>
      <c r="B108" s="13" t="s">
        <v>14</v>
      </c>
      <c r="C108" s="52">
        <v>4499.0129999999999</v>
      </c>
      <c r="D108" s="52">
        <f t="shared" si="46"/>
        <v>4544.0031300000001</v>
      </c>
      <c r="E108" s="52">
        <f t="shared" ref="E108:Q108" si="50">SUM(D108*101/100)</f>
        <v>4589.4431612999997</v>
      </c>
      <c r="F108" s="52">
        <f t="shared" si="50"/>
        <v>4635.3375929129998</v>
      </c>
      <c r="G108" s="52">
        <f t="shared" si="50"/>
        <v>4681.6909688421301</v>
      </c>
      <c r="H108" s="52">
        <f t="shared" si="50"/>
        <v>4728.5078785305514</v>
      </c>
      <c r="I108" s="52">
        <f t="shared" si="50"/>
        <v>4775.7929573158572</v>
      </c>
      <c r="J108" s="52">
        <f t="shared" si="50"/>
        <v>4823.5508868890156</v>
      </c>
      <c r="K108" s="52">
        <f t="shared" si="50"/>
        <v>4871.7863957579057</v>
      </c>
      <c r="L108" s="52">
        <f t="shared" si="50"/>
        <v>4920.5042597154852</v>
      </c>
      <c r="M108" s="52">
        <f t="shared" si="50"/>
        <v>4969.7093023126399</v>
      </c>
      <c r="N108" s="52">
        <f t="shared" si="50"/>
        <v>5019.4063953357663</v>
      </c>
      <c r="O108" s="52">
        <f t="shared" si="50"/>
        <v>5069.600459289124</v>
      </c>
      <c r="P108" s="52">
        <f t="shared" si="50"/>
        <v>5120.2964638820149</v>
      </c>
      <c r="Q108" s="52">
        <f t="shared" si="50"/>
        <v>5171.499428520835</v>
      </c>
    </row>
    <row r="109" spans="1:17" ht="24">
      <c r="A109" s="36" t="s">
        <v>79</v>
      </c>
      <c r="B109" s="14" t="s">
        <v>14</v>
      </c>
      <c r="C109" s="44">
        <v>28.443000000000001</v>
      </c>
      <c r="D109" s="44">
        <f t="shared" si="46"/>
        <v>28.727429999999998</v>
      </c>
      <c r="E109" s="52">
        <f t="shared" ref="E109:Q109" si="51">SUM(D109*101/100)</f>
        <v>29.014704299999998</v>
      </c>
      <c r="F109" s="52">
        <f t="shared" si="51"/>
        <v>29.304851342999999</v>
      </c>
      <c r="G109" s="52">
        <f t="shared" si="51"/>
        <v>29.597899856430001</v>
      </c>
      <c r="H109" s="52">
        <f t="shared" si="51"/>
        <v>29.893878854994298</v>
      </c>
      <c r="I109" s="52">
        <f t="shared" si="51"/>
        <v>30.192817643544242</v>
      </c>
      <c r="J109" s="52">
        <f t="shared" si="51"/>
        <v>30.494745819979684</v>
      </c>
      <c r="K109" s="52">
        <f t="shared" si="51"/>
        <v>30.799693278179479</v>
      </c>
      <c r="L109" s="52">
        <f t="shared" si="51"/>
        <v>31.107690210961273</v>
      </c>
      <c r="M109" s="52">
        <f t="shared" si="51"/>
        <v>31.418767113070885</v>
      </c>
      <c r="N109" s="52">
        <f t="shared" si="51"/>
        <v>31.732954784201592</v>
      </c>
      <c r="O109" s="52">
        <f t="shared" si="51"/>
        <v>32.05028433204361</v>
      </c>
      <c r="P109" s="52">
        <f t="shared" si="51"/>
        <v>32.370787175364043</v>
      </c>
      <c r="Q109" s="52">
        <f t="shared" si="51"/>
        <v>32.694495047117684</v>
      </c>
    </row>
    <row r="110" spans="1:17" ht="33.75">
      <c r="A110" s="36" t="s">
        <v>87</v>
      </c>
      <c r="B110" s="14" t="s">
        <v>14</v>
      </c>
      <c r="C110" s="44">
        <v>0</v>
      </c>
      <c r="D110" s="44">
        <f t="shared" si="46"/>
        <v>0</v>
      </c>
      <c r="E110" s="44">
        <f t="shared" ref="E110:Q110" si="52">SUM(D110*101/100)</f>
        <v>0</v>
      </c>
      <c r="F110" s="44">
        <f t="shared" si="52"/>
        <v>0</v>
      </c>
      <c r="G110" s="44">
        <f t="shared" si="52"/>
        <v>0</v>
      </c>
      <c r="H110" s="44">
        <f t="shared" si="52"/>
        <v>0</v>
      </c>
      <c r="I110" s="44">
        <f t="shared" si="52"/>
        <v>0</v>
      </c>
      <c r="J110" s="44">
        <f t="shared" si="52"/>
        <v>0</v>
      </c>
      <c r="K110" s="44">
        <f t="shared" si="52"/>
        <v>0</v>
      </c>
      <c r="L110" s="44">
        <f t="shared" si="52"/>
        <v>0</v>
      </c>
      <c r="M110" s="44">
        <f t="shared" si="52"/>
        <v>0</v>
      </c>
      <c r="N110" s="44">
        <f t="shared" si="52"/>
        <v>0</v>
      </c>
      <c r="O110" s="44">
        <f t="shared" si="52"/>
        <v>0</v>
      </c>
      <c r="P110" s="44">
        <f t="shared" si="52"/>
        <v>0</v>
      </c>
      <c r="Q110" s="44">
        <f t="shared" si="52"/>
        <v>0</v>
      </c>
    </row>
    <row r="111" spans="1:17">
      <c r="A111" s="36" t="s">
        <v>88</v>
      </c>
      <c r="B111" s="15"/>
      <c r="C111" s="44"/>
      <c r="D111" s="44">
        <f t="shared" si="46"/>
        <v>0</v>
      </c>
      <c r="E111" s="44">
        <f t="shared" ref="E111:Q111" si="53">SUM(D111*101/100)</f>
        <v>0</v>
      </c>
      <c r="F111" s="44">
        <f t="shared" si="53"/>
        <v>0</v>
      </c>
      <c r="G111" s="44">
        <f t="shared" si="53"/>
        <v>0</v>
      </c>
      <c r="H111" s="44">
        <f t="shared" si="53"/>
        <v>0</v>
      </c>
      <c r="I111" s="44">
        <f t="shared" si="53"/>
        <v>0</v>
      </c>
      <c r="J111" s="44">
        <f t="shared" si="53"/>
        <v>0</v>
      </c>
      <c r="K111" s="44">
        <f t="shared" si="53"/>
        <v>0</v>
      </c>
      <c r="L111" s="44">
        <f t="shared" si="53"/>
        <v>0</v>
      </c>
      <c r="M111" s="44">
        <f t="shared" si="53"/>
        <v>0</v>
      </c>
      <c r="N111" s="44">
        <f t="shared" si="53"/>
        <v>0</v>
      </c>
      <c r="O111" s="44">
        <f t="shared" si="53"/>
        <v>0</v>
      </c>
      <c r="P111" s="44">
        <f t="shared" si="53"/>
        <v>0</v>
      </c>
      <c r="Q111" s="44">
        <f t="shared" si="53"/>
        <v>0</v>
      </c>
    </row>
    <row r="112" spans="1:17" ht="24">
      <c r="A112" s="36" t="s">
        <v>81</v>
      </c>
      <c r="B112" s="14" t="s">
        <v>14</v>
      </c>
      <c r="C112" s="44">
        <v>0</v>
      </c>
      <c r="D112" s="44">
        <f>SUM(C112*101/100)</f>
        <v>0</v>
      </c>
      <c r="E112" s="44">
        <f t="shared" ref="E112:Q112" si="54">SUM(D112*101/100)</f>
        <v>0</v>
      </c>
      <c r="F112" s="44">
        <f t="shared" si="54"/>
        <v>0</v>
      </c>
      <c r="G112" s="44">
        <f t="shared" si="54"/>
        <v>0</v>
      </c>
      <c r="H112" s="44">
        <f t="shared" si="54"/>
        <v>0</v>
      </c>
      <c r="I112" s="44">
        <f t="shared" si="54"/>
        <v>0</v>
      </c>
      <c r="J112" s="44">
        <f t="shared" si="54"/>
        <v>0</v>
      </c>
      <c r="K112" s="44">
        <f t="shared" si="54"/>
        <v>0</v>
      </c>
      <c r="L112" s="44">
        <f t="shared" si="54"/>
        <v>0</v>
      </c>
      <c r="M112" s="44">
        <f t="shared" si="54"/>
        <v>0</v>
      </c>
      <c r="N112" s="44">
        <f t="shared" si="54"/>
        <v>0</v>
      </c>
      <c r="O112" s="44">
        <f t="shared" si="54"/>
        <v>0</v>
      </c>
      <c r="P112" s="44">
        <f t="shared" si="54"/>
        <v>0</v>
      </c>
      <c r="Q112" s="44">
        <f t="shared" si="54"/>
        <v>0</v>
      </c>
    </row>
    <row r="113" spans="1:17">
      <c r="A113" s="21" t="s">
        <v>89</v>
      </c>
      <c r="B113" s="15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33.75">
      <c r="A114" s="22" t="s">
        <v>90</v>
      </c>
      <c r="B114" s="16" t="s">
        <v>14</v>
      </c>
      <c r="C114" s="52">
        <v>892.72799999999995</v>
      </c>
      <c r="D114" s="44">
        <v>1018.752</v>
      </c>
      <c r="E114" s="52">
        <f>SUM(D114*102/100)</f>
        <v>1039.1270400000001</v>
      </c>
      <c r="F114" s="52">
        <f t="shared" ref="F114:Q114" si="55">SUM(E114*102/100)</f>
        <v>1059.9095808000002</v>
      </c>
      <c r="G114" s="52">
        <f t="shared" si="55"/>
        <v>1081.1077724160002</v>
      </c>
      <c r="H114" s="52">
        <f t="shared" si="55"/>
        <v>1102.7299278643202</v>
      </c>
      <c r="I114" s="52">
        <f t="shared" si="55"/>
        <v>1124.7845264216066</v>
      </c>
      <c r="J114" s="52">
        <f t="shared" si="55"/>
        <v>1147.2802169500387</v>
      </c>
      <c r="K114" s="52">
        <f t="shared" si="55"/>
        <v>1170.2258212890395</v>
      </c>
      <c r="L114" s="52">
        <f t="shared" si="55"/>
        <v>1193.6303377148201</v>
      </c>
      <c r="M114" s="52">
        <f t="shared" si="55"/>
        <v>1217.5029444691165</v>
      </c>
      <c r="N114" s="52">
        <f t="shared" si="55"/>
        <v>1241.8530033584989</v>
      </c>
      <c r="O114" s="52">
        <f t="shared" si="55"/>
        <v>1266.690063425669</v>
      </c>
      <c r="P114" s="52">
        <f t="shared" si="55"/>
        <v>1292.0238646941825</v>
      </c>
      <c r="Q114" s="52">
        <f t="shared" si="55"/>
        <v>1317.8643419880661</v>
      </c>
    </row>
    <row r="115" spans="1:17" ht="80.25">
      <c r="A115" s="22" t="s">
        <v>91</v>
      </c>
      <c r="B115" s="12" t="s">
        <v>45</v>
      </c>
      <c r="C115" s="54">
        <v>107.06</v>
      </c>
      <c r="D115" s="49">
        <f>SUM(D114/C114*100)</f>
        <v>114.11672984380461</v>
      </c>
      <c r="E115" s="49">
        <f t="shared" ref="E115:Q115" si="56">SUM(E114/D114*100)</f>
        <v>102</v>
      </c>
      <c r="F115" s="49">
        <f t="shared" si="56"/>
        <v>102</v>
      </c>
      <c r="G115" s="49">
        <f t="shared" si="56"/>
        <v>102</v>
      </c>
      <c r="H115" s="49">
        <f t="shared" si="56"/>
        <v>102</v>
      </c>
      <c r="I115" s="49">
        <f t="shared" si="56"/>
        <v>102</v>
      </c>
      <c r="J115" s="49">
        <f t="shared" si="56"/>
        <v>102</v>
      </c>
      <c r="K115" s="49">
        <f t="shared" si="56"/>
        <v>102</v>
      </c>
      <c r="L115" s="49">
        <f t="shared" si="56"/>
        <v>102</v>
      </c>
      <c r="M115" s="49">
        <f t="shared" si="56"/>
        <v>102</v>
      </c>
      <c r="N115" s="49">
        <f t="shared" si="56"/>
        <v>102</v>
      </c>
      <c r="O115" s="49">
        <f t="shared" si="56"/>
        <v>102</v>
      </c>
      <c r="P115" s="49">
        <f t="shared" si="56"/>
        <v>102</v>
      </c>
      <c r="Q115" s="49">
        <f t="shared" si="56"/>
        <v>102</v>
      </c>
    </row>
    <row r="116" spans="1:17" s="55" customFormat="1" ht="80.25">
      <c r="A116" s="25" t="s">
        <v>16</v>
      </c>
      <c r="B116" s="19" t="s">
        <v>45</v>
      </c>
      <c r="C116" s="54">
        <v>107.4</v>
      </c>
      <c r="D116" s="54">
        <v>111.2</v>
      </c>
      <c r="E116" s="54">
        <v>107.6</v>
      </c>
      <c r="F116" s="54">
        <v>106.5</v>
      </c>
      <c r="G116" s="54">
        <v>106.2</v>
      </c>
      <c r="H116" s="54">
        <v>106.2</v>
      </c>
      <c r="I116" s="54">
        <v>106.2</v>
      </c>
      <c r="J116" s="54">
        <v>106.2</v>
      </c>
      <c r="K116" s="54">
        <v>106.2</v>
      </c>
      <c r="L116" s="54">
        <v>106.2</v>
      </c>
      <c r="M116" s="54">
        <v>106.2</v>
      </c>
      <c r="N116" s="54">
        <v>106.2</v>
      </c>
      <c r="O116" s="54">
        <v>106.2</v>
      </c>
      <c r="P116" s="54">
        <v>106.2</v>
      </c>
      <c r="Q116" s="54">
        <v>106.2</v>
      </c>
    </row>
    <row r="117" spans="1:17" ht="14.45" hidden="1" customHeight="1">
      <c r="A117" s="79" t="s">
        <v>92</v>
      </c>
      <c r="B117" s="17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90" hidden="1" customHeight="1">
      <c r="A118" s="80"/>
      <c r="B118" s="18" t="s">
        <v>14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</row>
    <row r="119" spans="1:17" ht="80.25" hidden="1">
      <c r="A119" s="22" t="s">
        <v>91</v>
      </c>
      <c r="B119" s="12" t="s">
        <v>45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ht="80.25" hidden="1">
      <c r="A120" s="22" t="s">
        <v>16</v>
      </c>
      <c r="B120" s="12" t="s">
        <v>45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>
      <c r="A121" s="21" t="s">
        <v>93</v>
      </c>
      <c r="B121" s="1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>
      <c r="A122" s="26" t="s">
        <v>94</v>
      </c>
      <c r="B122" s="11" t="s">
        <v>95</v>
      </c>
      <c r="C122" s="52">
        <v>89.867999999999995</v>
      </c>
      <c r="D122" s="52">
        <f>SUM(C122*101.8/100)</f>
        <v>91.485623999999987</v>
      </c>
      <c r="E122" s="52">
        <f t="shared" ref="E122:Q122" si="57">SUM(D122*101.8/100)</f>
        <v>93.132365231999998</v>
      </c>
      <c r="F122" s="52">
        <f t="shared" si="57"/>
        <v>94.808747806176001</v>
      </c>
      <c r="G122" s="52">
        <f t="shared" si="57"/>
        <v>96.515305266687179</v>
      </c>
      <c r="H122" s="52">
        <f t="shared" si="57"/>
        <v>98.25258076148755</v>
      </c>
      <c r="I122" s="52">
        <f t="shared" si="57"/>
        <v>100.02112721519433</v>
      </c>
      <c r="J122" s="52">
        <f t="shared" si="57"/>
        <v>101.82150750506781</v>
      </c>
      <c r="K122" s="52">
        <f t="shared" si="57"/>
        <v>103.65429464015902</v>
      </c>
      <c r="L122" s="52">
        <f t="shared" si="57"/>
        <v>105.52007194368188</v>
      </c>
      <c r="M122" s="52">
        <f t="shared" si="57"/>
        <v>107.41943323866815</v>
      </c>
      <c r="N122" s="52">
        <f t="shared" si="57"/>
        <v>109.35298303696418</v>
      </c>
      <c r="O122" s="52">
        <f t="shared" si="57"/>
        <v>111.32133673162953</v>
      </c>
      <c r="P122" s="52">
        <f t="shared" si="57"/>
        <v>113.32512079279886</v>
      </c>
      <c r="Q122" s="52">
        <f t="shared" si="57"/>
        <v>115.36497296706922</v>
      </c>
    </row>
    <row r="123" spans="1:17" ht="33.75">
      <c r="A123" s="26" t="s">
        <v>96</v>
      </c>
      <c r="B123" s="11" t="s">
        <v>95</v>
      </c>
      <c r="C123" s="52">
        <v>7</v>
      </c>
      <c r="D123" s="52">
        <f>SUM(C123*101.8/100)</f>
        <v>7.1260000000000003</v>
      </c>
      <c r="E123" s="52">
        <f t="shared" ref="E123:Q123" si="58">SUM(D123*101.8/100)</f>
        <v>7.2542679999999997</v>
      </c>
      <c r="F123" s="52">
        <f t="shared" si="58"/>
        <v>7.3848448239999991</v>
      </c>
      <c r="G123" s="52">
        <f t="shared" si="58"/>
        <v>7.5177720308319991</v>
      </c>
      <c r="H123" s="52">
        <f t="shared" si="58"/>
        <v>7.6530919273869742</v>
      </c>
      <c r="I123" s="52">
        <f t="shared" si="58"/>
        <v>7.7908475820799392</v>
      </c>
      <c r="J123" s="52">
        <f t="shared" si="58"/>
        <v>7.9310828385573782</v>
      </c>
      <c r="K123" s="52">
        <f t="shared" si="58"/>
        <v>8.073842329651411</v>
      </c>
      <c r="L123" s="52">
        <f t="shared" si="58"/>
        <v>8.2191714915851364</v>
      </c>
      <c r="M123" s="52">
        <f t="shared" si="58"/>
        <v>8.3671165784336683</v>
      </c>
      <c r="N123" s="52">
        <f t="shared" si="58"/>
        <v>8.5177246768454751</v>
      </c>
      <c r="O123" s="52">
        <f t="shared" si="58"/>
        <v>8.6710437210286937</v>
      </c>
      <c r="P123" s="52">
        <f t="shared" si="58"/>
        <v>8.8271225080072107</v>
      </c>
      <c r="Q123" s="52">
        <f t="shared" si="58"/>
        <v>8.9860107131513409</v>
      </c>
    </row>
    <row r="124" spans="1:17">
      <c r="A124" s="81" t="s">
        <v>97</v>
      </c>
      <c r="B124" s="82" t="s">
        <v>95</v>
      </c>
      <c r="C124" s="71">
        <v>167.70400000000001</v>
      </c>
      <c r="D124" s="68">
        <f>SUM(C124*104/100)</f>
        <v>174.41216</v>
      </c>
      <c r="E124" s="68">
        <f t="shared" ref="E124:Q124" si="59">SUM(D124*104/100)</f>
        <v>181.3886464</v>
      </c>
      <c r="F124" s="68">
        <f t="shared" si="59"/>
        <v>188.644192256</v>
      </c>
      <c r="G124" s="68">
        <f t="shared" si="59"/>
        <v>196.18995994623998</v>
      </c>
      <c r="H124" s="68">
        <f t="shared" si="59"/>
        <v>204.0375583440896</v>
      </c>
      <c r="I124" s="68">
        <f t="shared" si="59"/>
        <v>212.1990606778532</v>
      </c>
      <c r="J124" s="68">
        <f t="shared" si="59"/>
        <v>220.68702310496735</v>
      </c>
      <c r="K124" s="68">
        <f t="shared" si="59"/>
        <v>229.51450402916606</v>
      </c>
      <c r="L124" s="68">
        <f t="shared" si="59"/>
        <v>238.69508419033272</v>
      </c>
      <c r="M124" s="68">
        <f t="shared" si="59"/>
        <v>248.24288755794601</v>
      </c>
      <c r="N124" s="68">
        <f t="shared" si="59"/>
        <v>258.17260306026384</v>
      </c>
      <c r="O124" s="68">
        <f t="shared" si="59"/>
        <v>268.49950718267439</v>
      </c>
      <c r="P124" s="68">
        <f t="shared" si="59"/>
        <v>279.23948746998138</v>
      </c>
      <c r="Q124" s="68">
        <f t="shared" si="59"/>
        <v>290.40906696878062</v>
      </c>
    </row>
    <row r="125" spans="1:17" ht="33.6" customHeight="1">
      <c r="A125" s="81"/>
      <c r="B125" s="82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</row>
    <row r="126" spans="1:17">
      <c r="A126" s="21" t="s">
        <v>98</v>
      </c>
      <c r="B126" s="15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 ht="24">
      <c r="A127" s="21" t="s">
        <v>99</v>
      </c>
      <c r="B127" s="11" t="s">
        <v>100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1:17" ht="24">
      <c r="A128" s="36" t="s">
        <v>101</v>
      </c>
      <c r="B128" s="11" t="s">
        <v>100</v>
      </c>
      <c r="C128" s="44">
        <v>651015</v>
      </c>
      <c r="D128" s="44">
        <v>560506.80000000005</v>
      </c>
      <c r="E128" s="44">
        <v>508059.4</v>
      </c>
      <c r="F128" s="44">
        <v>513141</v>
      </c>
      <c r="G128" s="44">
        <f>SUM(F128*101/100)</f>
        <v>518272.41</v>
      </c>
      <c r="H128" s="44">
        <f t="shared" ref="H128:Q128" si="60">SUM(G128*101/100)</f>
        <v>523455.13409999997</v>
      </c>
      <c r="I128" s="44">
        <f t="shared" si="60"/>
        <v>528689.68544099992</v>
      </c>
      <c r="J128" s="44">
        <f t="shared" si="60"/>
        <v>533976.58229540987</v>
      </c>
      <c r="K128" s="44">
        <f t="shared" si="60"/>
        <v>539316.348118364</v>
      </c>
      <c r="L128" s="44">
        <f t="shared" si="60"/>
        <v>544709.5115995477</v>
      </c>
      <c r="M128" s="44">
        <f t="shared" si="60"/>
        <v>550156.6067155432</v>
      </c>
      <c r="N128" s="44">
        <f t="shared" si="60"/>
        <v>555658.17278269865</v>
      </c>
      <c r="O128" s="44">
        <f t="shared" si="60"/>
        <v>561214.75451052561</v>
      </c>
      <c r="P128" s="44">
        <f t="shared" si="60"/>
        <v>566826.90205563081</v>
      </c>
      <c r="Q128" s="44">
        <f t="shared" si="60"/>
        <v>572495.17107618717</v>
      </c>
    </row>
    <row r="129" spans="1:17" ht="24">
      <c r="A129" s="37" t="s">
        <v>102</v>
      </c>
      <c r="B129" s="11" t="s">
        <v>100</v>
      </c>
      <c r="C129" s="44">
        <v>69046</v>
      </c>
      <c r="D129" s="44">
        <v>76973</v>
      </c>
      <c r="E129" s="44">
        <v>104581.3</v>
      </c>
      <c r="F129" s="44">
        <v>105627</v>
      </c>
      <c r="G129" s="44">
        <f t="shared" ref="G129:Q130" si="61">SUM(F129*101/100)</f>
        <v>106683.27</v>
      </c>
      <c r="H129" s="44">
        <f t="shared" si="61"/>
        <v>107750.10269999999</v>
      </c>
      <c r="I129" s="44">
        <f t="shared" si="61"/>
        <v>108827.60372699998</v>
      </c>
      <c r="J129" s="44">
        <f t="shared" si="61"/>
        <v>109915.87976426998</v>
      </c>
      <c r="K129" s="44">
        <f t="shared" si="61"/>
        <v>111015.03856191268</v>
      </c>
      <c r="L129" s="44">
        <f t="shared" si="61"/>
        <v>112125.1889475318</v>
      </c>
      <c r="M129" s="44">
        <f t="shared" si="61"/>
        <v>113246.44083700713</v>
      </c>
      <c r="N129" s="44">
        <f t="shared" si="61"/>
        <v>114378.9052453772</v>
      </c>
      <c r="O129" s="44">
        <f t="shared" si="61"/>
        <v>115522.69429783097</v>
      </c>
      <c r="P129" s="44">
        <f t="shared" si="61"/>
        <v>116677.92124080929</v>
      </c>
      <c r="Q129" s="44">
        <f t="shared" si="61"/>
        <v>117844.70045321739</v>
      </c>
    </row>
    <row r="130" spans="1:17" ht="24">
      <c r="A130" s="36" t="s">
        <v>103</v>
      </c>
      <c r="B130" s="11" t="s">
        <v>100</v>
      </c>
      <c r="C130" s="44">
        <v>18378</v>
      </c>
      <c r="D130" s="44">
        <v>20741</v>
      </c>
      <c r="E130" s="44">
        <v>25627</v>
      </c>
      <c r="F130" s="44">
        <v>25883</v>
      </c>
      <c r="G130" s="44">
        <f t="shared" si="61"/>
        <v>26141.83</v>
      </c>
      <c r="H130" s="44">
        <f t="shared" si="61"/>
        <v>26403.248299999999</v>
      </c>
      <c r="I130" s="44">
        <f t="shared" si="61"/>
        <v>26667.280782999998</v>
      </c>
      <c r="J130" s="44">
        <f t="shared" si="61"/>
        <v>26933.953590829995</v>
      </c>
      <c r="K130" s="44">
        <f t="shared" si="61"/>
        <v>27203.293126738296</v>
      </c>
      <c r="L130" s="44">
        <f t="shared" si="61"/>
        <v>27475.326058005678</v>
      </c>
      <c r="M130" s="44">
        <f t="shared" si="61"/>
        <v>27750.079318585736</v>
      </c>
      <c r="N130" s="44">
        <f t="shared" si="61"/>
        <v>28027.580111771593</v>
      </c>
      <c r="O130" s="44">
        <f t="shared" si="61"/>
        <v>28307.855912889307</v>
      </c>
      <c r="P130" s="44">
        <f t="shared" si="61"/>
        <v>28590.934472018202</v>
      </c>
      <c r="Q130" s="44">
        <f t="shared" si="61"/>
        <v>28876.843816738387</v>
      </c>
    </row>
    <row r="131" spans="1:17">
      <c r="A131" s="37" t="s">
        <v>88</v>
      </c>
      <c r="B131" s="83" t="s">
        <v>100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1:17" ht="22.5">
      <c r="A132" s="37" t="s">
        <v>104</v>
      </c>
      <c r="B132" s="83"/>
      <c r="C132" s="44">
        <v>1364</v>
      </c>
      <c r="D132" s="44">
        <v>1366</v>
      </c>
      <c r="E132" s="44">
        <v>6427</v>
      </c>
      <c r="F132" s="44">
        <v>6491</v>
      </c>
      <c r="G132" s="44">
        <f>SUM(F132*101/100)</f>
        <v>6555.91</v>
      </c>
      <c r="H132" s="44">
        <f t="shared" ref="H132:Q132" si="62">SUM(G132*101/100)</f>
        <v>6621.4691000000003</v>
      </c>
      <c r="I132" s="44">
        <f t="shared" si="62"/>
        <v>6687.6837910000004</v>
      </c>
      <c r="J132" s="44">
        <f t="shared" si="62"/>
        <v>6754.5606289100006</v>
      </c>
      <c r="K132" s="44">
        <f t="shared" si="62"/>
        <v>6822.1062351991004</v>
      </c>
      <c r="L132" s="44">
        <f t="shared" si="62"/>
        <v>6890.3272975510918</v>
      </c>
      <c r="M132" s="44">
        <f t="shared" si="62"/>
        <v>6959.2305705266026</v>
      </c>
      <c r="N132" s="44">
        <f t="shared" si="62"/>
        <v>7028.8228762318686</v>
      </c>
      <c r="O132" s="44">
        <f t="shared" si="62"/>
        <v>7099.1111049941865</v>
      </c>
      <c r="P132" s="44">
        <f t="shared" si="62"/>
        <v>7170.1022160441289</v>
      </c>
      <c r="Q132" s="44">
        <f t="shared" si="62"/>
        <v>7241.8032382045694</v>
      </c>
    </row>
    <row r="133" spans="1:17" ht="24">
      <c r="A133" s="37" t="s">
        <v>105</v>
      </c>
      <c r="B133" s="11" t="s">
        <v>100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1:17" ht="24">
      <c r="A134" s="37" t="s">
        <v>106</v>
      </c>
      <c r="B134" s="11" t="s">
        <v>100</v>
      </c>
      <c r="C134" s="44">
        <v>17014</v>
      </c>
      <c r="D134" s="44">
        <v>19375</v>
      </c>
      <c r="E134" s="44">
        <v>19200</v>
      </c>
      <c r="F134" s="44">
        <v>19392</v>
      </c>
      <c r="G134" s="44">
        <f t="shared" ref="G134:Q168" si="63">SUM(F134*101/100)</f>
        <v>19585.919999999998</v>
      </c>
      <c r="H134" s="44">
        <f t="shared" si="63"/>
        <v>19781.779200000001</v>
      </c>
      <c r="I134" s="44">
        <f t="shared" si="63"/>
        <v>19979.596992000003</v>
      </c>
      <c r="J134" s="44">
        <f t="shared" si="63"/>
        <v>20179.392961920003</v>
      </c>
      <c r="K134" s="44">
        <f t="shared" si="63"/>
        <v>20381.186891539201</v>
      </c>
      <c r="L134" s="44">
        <f t="shared" si="63"/>
        <v>20584.998760454593</v>
      </c>
      <c r="M134" s="44">
        <f t="shared" si="63"/>
        <v>20790.848748059139</v>
      </c>
      <c r="N134" s="44">
        <f t="shared" si="63"/>
        <v>20998.757235539731</v>
      </c>
      <c r="O134" s="44">
        <f t="shared" si="63"/>
        <v>21208.744807895127</v>
      </c>
      <c r="P134" s="44">
        <f t="shared" si="63"/>
        <v>21420.832255974077</v>
      </c>
      <c r="Q134" s="44">
        <f t="shared" si="63"/>
        <v>21635.040578533815</v>
      </c>
    </row>
    <row r="135" spans="1:17" ht="24">
      <c r="A135" s="36" t="s">
        <v>107</v>
      </c>
      <c r="B135" s="11" t="s">
        <v>100</v>
      </c>
      <c r="C135" s="44">
        <v>6843</v>
      </c>
      <c r="D135" s="44">
        <v>6492</v>
      </c>
      <c r="E135" s="44">
        <v>28565</v>
      </c>
      <c r="F135" s="44">
        <v>28851</v>
      </c>
      <c r="G135" s="44">
        <f t="shared" si="63"/>
        <v>29139.51</v>
      </c>
      <c r="H135" s="44">
        <f t="shared" si="63"/>
        <v>29430.905099999996</v>
      </c>
      <c r="I135" s="44">
        <f t="shared" si="63"/>
        <v>29725.214150999993</v>
      </c>
      <c r="J135" s="44">
        <f t="shared" si="63"/>
        <v>30022.466292509991</v>
      </c>
      <c r="K135" s="44">
        <f t="shared" si="63"/>
        <v>30322.69095543509</v>
      </c>
      <c r="L135" s="44">
        <f t="shared" si="63"/>
        <v>30625.917864989442</v>
      </c>
      <c r="M135" s="44">
        <f t="shared" si="63"/>
        <v>30932.177043639338</v>
      </c>
      <c r="N135" s="44">
        <f t="shared" si="63"/>
        <v>31241.498814075734</v>
      </c>
      <c r="O135" s="44">
        <f t="shared" si="63"/>
        <v>31553.913802216492</v>
      </c>
      <c r="P135" s="44">
        <f t="shared" si="63"/>
        <v>31869.452940238658</v>
      </c>
      <c r="Q135" s="44">
        <f t="shared" si="63"/>
        <v>32188.147469641044</v>
      </c>
    </row>
    <row r="136" spans="1:17" ht="33.75">
      <c r="A136" s="37" t="s">
        <v>108</v>
      </c>
      <c r="B136" s="11" t="s">
        <v>100</v>
      </c>
      <c r="C136" s="44">
        <v>6310</v>
      </c>
      <c r="D136" s="44">
        <v>6487</v>
      </c>
      <c r="E136" s="44">
        <v>6865</v>
      </c>
      <c r="F136" s="44">
        <v>6934</v>
      </c>
      <c r="G136" s="44">
        <f t="shared" si="63"/>
        <v>7003.34</v>
      </c>
      <c r="H136" s="44">
        <f t="shared" si="63"/>
        <v>7073.3733999999995</v>
      </c>
      <c r="I136" s="44">
        <f t="shared" si="63"/>
        <v>7144.107133999999</v>
      </c>
      <c r="J136" s="44">
        <f t="shared" si="63"/>
        <v>7215.5482053399992</v>
      </c>
      <c r="K136" s="44">
        <f t="shared" si="63"/>
        <v>7287.7036873933985</v>
      </c>
      <c r="L136" s="44">
        <f t="shared" si="63"/>
        <v>7360.5807242673318</v>
      </c>
      <c r="M136" s="44">
        <f t="shared" si="63"/>
        <v>7434.1865315100049</v>
      </c>
      <c r="N136" s="44">
        <f t="shared" si="63"/>
        <v>7508.5283968251051</v>
      </c>
      <c r="O136" s="44">
        <f t="shared" si="63"/>
        <v>7583.6136807933563</v>
      </c>
      <c r="P136" s="44">
        <f t="shared" si="63"/>
        <v>7659.4498176012894</v>
      </c>
      <c r="Q136" s="44">
        <f t="shared" si="63"/>
        <v>7736.0443157773025</v>
      </c>
    </row>
    <row r="137" spans="1:17" ht="33.75">
      <c r="A137" s="37" t="s">
        <v>109</v>
      </c>
      <c r="B137" s="11" t="s">
        <v>100</v>
      </c>
      <c r="C137" s="44"/>
      <c r="D137" s="44"/>
      <c r="E137" s="44">
        <v>21695</v>
      </c>
      <c r="F137" s="44">
        <v>21912</v>
      </c>
      <c r="G137" s="44">
        <f t="shared" si="63"/>
        <v>22131.119999999999</v>
      </c>
      <c r="H137" s="44">
        <f t="shared" si="63"/>
        <v>22352.431200000003</v>
      </c>
      <c r="I137" s="44">
        <f t="shared" si="63"/>
        <v>22575.955512</v>
      </c>
      <c r="J137" s="44">
        <f t="shared" si="63"/>
        <v>22801.71506712</v>
      </c>
      <c r="K137" s="44">
        <f t="shared" si="63"/>
        <v>23029.732217791203</v>
      </c>
      <c r="L137" s="44">
        <f t="shared" si="63"/>
        <v>23260.029539969117</v>
      </c>
      <c r="M137" s="44">
        <f t="shared" si="63"/>
        <v>23492.629835368811</v>
      </c>
      <c r="N137" s="44">
        <f t="shared" si="63"/>
        <v>23727.556133722501</v>
      </c>
      <c r="O137" s="44">
        <f t="shared" si="63"/>
        <v>23964.831695059725</v>
      </c>
      <c r="P137" s="44">
        <f t="shared" si="63"/>
        <v>24204.480012010321</v>
      </c>
      <c r="Q137" s="44">
        <f t="shared" si="63"/>
        <v>24446.524812130425</v>
      </c>
    </row>
    <row r="138" spans="1:17" ht="24">
      <c r="A138" s="37" t="s">
        <v>110</v>
      </c>
      <c r="B138" s="11" t="s">
        <v>100</v>
      </c>
      <c r="C138" s="44">
        <v>10</v>
      </c>
      <c r="D138" s="44">
        <v>5</v>
      </c>
      <c r="E138" s="44">
        <v>5</v>
      </c>
      <c r="F138" s="44">
        <v>5</v>
      </c>
      <c r="G138" s="49">
        <f t="shared" si="63"/>
        <v>5.05</v>
      </c>
      <c r="H138" s="49">
        <f t="shared" si="63"/>
        <v>5.1004999999999994</v>
      </c>
      <c r="I138" s="49">
        <f t="shared" si="63"/>
        <v>5.1515049999999993</v>
      </c>
      <c r="J138" s="49">
        <f t="shared" si="63"/>
        <v>5.2030200499999992</v>
      </c>
      <c r="K138" s="49">
        <f t="shared" si="63"/>
        <v>5.2550502505000001</v>
      </c>
      <c r="L138" s="49">
        <f t="shared" si="63"/>
        <v>5.3076007530050004</v>
      </c>
      <c r="M138" s="49">
        <f t="shared" si="63"/>
        <v>5.3606767605350498</v>
      </c>
      <c r="N138" s="49">
        <f t="shared" si="63"/>
        <v>5.4142835281404009</v>
      </c>
      <c r="O138" s="49">
        <f t="shared" si="63"/>
        <v>5.4684263634218055</v>
      </c>
      <c r="P138" s="49">
        <f t="shared" si="63"/>
        <v>5.523110627056024</v>
      </c>
      <c r="Q138" s="49">
        <f t="shared" si="63"/>
        <v>5.5783417333265843</v>
      </c>
    </row>
    <row r="139" spans="1:17" ht="33.75">
      <c r="A139" s="36" t="s">
        <v>111</v>
      </c>
      <c r="B139" s="11" t="s">
        <v>100</v>
      </c>
      <c r="C139" s="44">
        <v>523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1:17" ht="24">
      <c r="A140" s="36" t="s">
        <v>112</v>
      </c>
      <c r="B140" s="11" t="s">
        <v>100</v>
      </c>
      <c r="C140" s="44">
        <v>4018</v>
      </c>
      <c r="D140" s="44">
        <v>4994</v>
      </c>
      <c r="E140" s="44">
        <v>5463.3</v>
      </c>
      <c r="F140" s="44">
        <v>5518</v>
      </c>
      <c r="G140" s="44">
        <f t="shared" si="63"/>
        <v>5573.18</v>
      </c>
      <c r="H140" s="44">
        <f t="shared" si="63"/>
        <v>5628.9118000000008</v>
      </c>
      <c r="I140" s="44">
        <f t="shared" si="63"/>
        <v>5685.2009180000005</v>
      </c>
      <c r="J140" s="44">
        <f t="shared" si="63"/>
        <v>5742.0529271800006</v>
      </c>
      <c r="K140" s="44">
        <f t="shared" si="63"/>
        <v>5799.4734564518012</v>
      </c>
      <c r="L140" s="44">
        <f t="shared" si="63"/>
        <v>5857.468191016319</v>
      </c>
      <c r="M140" s="44">
        <f t="shared" si="63"/>
        <v>5916.0428729264822</v>
      </c>
      <c r="N140" s="44">
        <f t="shared" si="63"/>
        <v>5975.2033016557471</v>
      </c>
      <c r="O140" s="44">
        <f t="shared" si="63"/>
        <v>6034.9553346723051</v>
      </c>
      <c r="P140" s="44">
        <f t="shared" si="63"/>
        <v>6095.304888019029</v>
      </c>
      <c r="Q140" s="44">
        <f t="shared" si="63"/>
        <v>6156.2579368992192</v>
      </c>
    </row>
    <row r="141" spans="1:17" ht="24">
      <c r="A141" s="36" t="s">
        <v>113</v>
      </c>
      <c r="B141" s="14" t="s">
        <v>100</v>
      </c>
      <c r="C141" s="44">
        <v>47996</v>
      </c>
      <c r="D141" s="44">
        <v>36698</v>
      </c>
      <c r="E141" s="44">
        <v>33300</v>
      </c>
      <c r="F141" s="44">
        <v>33633</v>
      </c>
      <c r="G141" s="44">
        <f t="shared" si="63"/>
        <v>33969.33</v>
      </c>
      <c r="H141" s="44">
        <f t="shared" si="63"/>
        <v>34309.023300000001</v>
      </c>
      <c r="I141" s="44">
        <f t="shared" si="63"/>
        <v>34652.113533000003</v>
      </c>
      <c r="J141" s="44">
        <f t="shared" si="63"/>
        <v>34998.634668330007</v>
      </c>
      <c r="K141" s="44">
        <f t="shared" si="63"/>
        <v>35348.621015013305</v>
      </c>
      <c r="L141" s="44">
        <f t="shared" si="63"/>
        <v>35702.10722516344</v>
      </c>
      <c r="M141" s="44">
        <f t="shared" si="63"/>
        <v>36059.128297415074</v>
      </c>
      <c r="N141" s="44">
        <f t="shared" si="63"/>
        <v>36419.719580389225</v>
      </c>
      <c r="O141" s="44">
        <f t="shared" si="63"/>
        <v>36783.916776193117</v>
      </c>
      <c r="P141" s="44">
        <f t="shared" si="63"/>
        <v>37151.755943955046</v>
      </c>
      <c r="Q141" s="44">
        <f t="shared" si="63"/>
        <v>37523.273503394594</v>
      </c>
    </row>
    <row r="142" spans="1:17" ht="33.75">
      <c r="A142" s="36" t="s">
        <v>114</v>
      </c>
      <c r="B142" s="14" t="s">
        <v>100</v>
      </c>
      <c r="C142" s="44">
        <v>6395</v>
      </c>
      <c r="D142" s="44">
        <v>6130</v>
      </c>
      <c r="E142" s="44">
        <v>5618</v>
      </c>
      <c r="F142" s="44">
        <v>5674</v>
      </c>
      <c r="G142" s="44">
        <f t="shared" si="63"/>
        <v>5730.74</v>
      </c>
      <c r="H142" s="44">
        <f t="shared" si="63"/>
        <v>5788.0473999999995</v>
      </c>
      <c r="I142" s="44">
        <f t="shared" si="63"/>
        <v>5845.9278739999991</v>
      </c>
      <c r="J142" s="44">
        <f t="shared" si="63"/>
        <v>5904.3871527399997</v>
      </c>
      <c r="K142" s="44">
        <f t="shared" si="63"/>
        <v>5963.4310242674001</v>
      </c>
      <c r="L142" s="44">
        <f t="shared" si="63"/>
        <v>6023.0653345100745</v>
      </c>
      <c r="M142" s="44">
        <f t="shared" si="63"/>
        <v>6083.2959878551746</v>
      </c>
      <c r="N142" s="44">
        <f t="shared" si="63"/>
        <v>6144.1289477337268</v>
      </c>
      <c r="O142" s="44">
        <f t="shared" si="63"/>
        <v>6205.5702372110636</v>
      </c>
      <c r="P142" s="44">
        <f t="shared" si="63"/>
        <v>6267.6259395831739</v>
      </c>
      <c r="Q142" s="44">
        <f t="shared" si="63"/>
        <v>6330.3021989790059</v>
      </c>
    </row>
    <row r="143" spans="1:17" ht="24">
      <c r="A143" s="36" t="s">
        <v>115</v>
      </c>
      <c r="B143" s="14" t="s">
        <v>100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1:17" ht="24">
      <c r="A144" s="36" t="s">
        <v>116</v>
      </c>
      <c r="B144" s="14" t="s">
        <v>100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1:17" ht="33.75">
      <c r="A145" s="36" t="s">
        <v>117</v>
      </c>
      <c r="B145" s="14" t="s">
        <v>100</v>
      </c>
      <c r="C145" s="44">
        <v>9938</v>
      </c>
      <c r="D145" s="44">
        <v>3200</v>
      </c>
      <c r="E145" s="44">
        <v>2933</v>
      </c>
      <c r="F145" s="44">
        <v>2962</v>
      </c>
      <c r="G145" s="44">
        <f t="shared" si="63"/>
        <v>2991.62</v>
      </c>
      <c r="H145" s="44">
        <f t="shared" si="63"/>
        <v>3021.5362</v>
      </c>
      <c r="I145" s="44">
        <f t="shared" si="63"/>
        <v>3051.7515620000004</v>
      </c>
      <c r="J145" s="44">
        <f t="shared" si="63"/>
        <v>3082.2690776200006</v>
      </c>
      <c r="K145" s="44">
        <f t="shared" si="63"/>
        <v>3113.0917683962007</v>
      </c>
      <c r="L145" s="44">
        <f t="shared" si="63"/>
        <v>3144.2226860801625</v>
      </c>
      <c r="M145" s="44">
        <f t="shared" si="63"/>
        <v>3175.6649129409639</v>
      </c>
      <c r="N145" s="44">
        <f t="shared" si="63"/>
        <v>3207.4215620703735</v>
      </c>
      <c r="O145" s="44">
        <f t="shared" si="63"/>
        <v>3239.4957776910769</v>
      </c>
      <c r="P145" s="44">
        <f t="shared" si="63"/>
        <v>3271.8907354679877</v>
      </c>
      <c r="Q145" s="44">
        <f t="shared" si="63"/>
        <v>3304.6096428226674</v>
      </c>
    </row>
    <row r="146" spans="1:17" ht="24">
      <c r="A146" s="36" t="s">
        <v>118</v>
      </c>
      <c r="B146" s="14" t="s">
        <v>100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1:17" ht="24">
      <c r="A147" s="36" t="s">
        <v>119</v>
      </c>
      <c r="B147" s="14" t="s">
        <v>100</v>
      </c>
      <c r="C147" s="44">
        <v>31663</v>
      </c>
      <c r="D147" s="44">
        <v>27368</v>
      </c>
      <c r="E147" s="44">
        <v>24749</v>
      </c>
      <c r="F147" s="44">
        <v>24997</v>
      </c>
      <c r="G147" s="44">
        <f t="shared" si="63"/>
        <v>25246.97</v>
      </c>
      <c r="H147" s="44">
        <f t="shared" si="63"/>
        <v>25499.439700000003</v>
      </c>
      <c r="I147" s="44">
        <f t="shared" si="63"/>
        <v>25754.434097000001</v>
      </c>
      <c r="J147" s="44">
        <f t="shared" si="63"/>
        <v>26011.97843797</v>
      </c>
      <c r="K147" s="44">
        <f t="shared" si="63"/>
        <v>26272.098222349701</v>
      </c>
      <c r="L147" s="44">
        <f t="shared" si="63"/>
        <v>26534.819204573199</v>
      </c>
      <c r="M147" s="44">
        <f t="shared" si="63"/>
        <v>26800.167396618934</v>
      </c>
      <c r="N147" s="44">
        <f t="shared" si="63"/>
        <v>27068.169070585122</v>
      </c>
      <c r="O147" s="44">
        <f t="shared" si="63"/>
        <v>27338.850761290974</v>
      </c>
      <c r="P147" s="44">
        <f t="shared" si="63"/>
        <v>27612.239268903886</v>
      </c>
      <c r="Q147" s="44">
        <f t="shared" si="63"/>
        <v>27888.361661592928</v>
      </c>
    </row>
    <row r="148" spans="1:17" ht="24">
      <c r="A148" s="36" t="s">
        <v>120</v>
      </c>
      <c r="B148" s="14" t="s">
        <v>100</v>
      </c>
      <c r="C148" s="44">
        <v>535500</v>
      </c>
      <c r="D148" s="44">
        <v>446835.8</v>
      </c>
      <c r="E148" s="44">
        <v>370178.1</v>
      </c>
      <c r="F148" s="44">
        <v>373881</v>
      </c>
      <c r="G148" s="44">
        <f t="shared" si="63"/>
        <v>377619.81</v>
      </c>
      <c r="H148" s="44">
        <f t="shared" si="63"/>
        <v>381396.00810000004</v>
      </c>
      <c r="I148" s="44">
        <f t="shared" si="63"/>
        <v>385209.96818100003</v>
      </c>
      <c r="J148" s="44">
        <f t="shared" si="63"/>
        <v>389062.06786281004</v>
      </c>
      <c r="K148" s="44">
        <f t="shared" si="63"/>
        <v>392952.68854143814</v>
      </c>
      <c r="L148" s="44">
        <f t="shared" si="63"/>
        <v>396882.21542685258</v>
      </c>
      <c r="M148" s="44">
        <f t="shared" si="63"/>
        <v>400851.03758112108</v>
      </c>
      <c r="N148" s="44">
        <f t="shared" si="63"/>
        <v>404859.54795693228</v>
      </c>
      <c r="O148" s="44">
        <f t="shared" si="63"/>
        <v>408908.14343650162</v>
      </c>
      <c r="P148" s="44">
        <f t="shared" si="63"/>
        <v>412997.22487086663</v>
      </c>
      <c r="Q148" s="44">
        <f t="shared" si="63"/>
        <v>417127.19711957528</v>
      </c>
    </row>
    <row r="149" spans="1:17" ht="33.75">
      <c r="A149" s="36" t="s">
        <v>121</v>
      </c>
      <c r="B149" s="14" t="s">
        <v>100</v>
      </c>
      <c r="C149" s="44">
        <v>99513</v>
      </c>
      <c r="D149" s="44">
        <v>64932</v>
      </c>
      <c r="E149" s="44">
        <v>42567</v>
      </c>
      <c r="F149" s="44">
        <v>42993</v>
      </c>
      <c r="G149" s="44">
        <f t="shared" si="63"/>
        <v>43422.93</v>
      </c>
      <c r="H149" s="44">
        <f t="shared" si="63"/>
        <v>43857.159299999999</v>
      </c>
      <c r="I149" s="44">
        <f t="shared" si="63"/>
        <v>44295.730893</v>
      </c>
      <c r="J149" s="44">
        <f t="shared" si="63"/>
        <v>44738.688201930003</v>
      </c>
      <c r="K149" s="44">
        <f t="shared" si="63"/>
        <v>45186.075083949305</v>
      </c>
      <c r="L149" s="44">
        <f t="shared" si="63"/>
        <v>45637.935834788805</v>
      </c>
      <c r="M149" s="44">
        <f t="shared" si="63"/>
        <v>46094.315193136688</v>
      </c>
      <c r="N149" s="44">
        <f t="shared" si="63"/>
        <v>46555.258345068061</v>
      </c>
      <c r="O149" s="44">
        <f t="shared" si="63"/>
        <v>47020.810928518746</v>
      </c>
      <c r="P149" s="44">
        <f t="shared" si="63"/>
        <v>47491.019037803933</v>
      </c>
      <c r="Q149" s="44">
        <f t="shared" si="63"/>
        <v>47965.929228181973</v>
      </c>
    </row>
    <row r="150" spans="1:17" ht="24">
      <c r="A150" s="36" t="s">
        <v>122</v>
      </c>
      <c r="B150" s="14" t="s">
        <v>100</v>
      </c>
      <c r="C150" s="44">
        <v>337766</v>
      </c>
      <c r="D150" s="44">
        <v>322782.5</v>
      </c>
      <c r="E150" s="44">
        <v>306748.2</v>
      </c>
      <c r="F150" s="44">
        <v>309816</v>
      </c>
      <c r="G150" s="44">
        <f t="shared" si="63"/>
        <v>312914.15999999997</v>
      </c>
      <c r="H150" s="44">
        <f t="shared" si="63"/>
        <v>316043.30159999995</v>
      </c>
      <c r="I150" s="44">
        <f t="shared" si="63"/>
        <v>319203.73461599997</v>
      </c>
      <c r="J150" s="44">
        <f t="shared" si="63"/>
        <v>322395.77196216001</v>
      </c>
      <c r="K150" s="44">
        <f t="shared" si="63"/>
        <v>325619.72968178161</v>
      </c>
      <c r="L150" s="44">
        <f t="shared" si="63"/>
        <v>328875.92697859945</v>
      </c>
      <c r="M150" s="44">
        <f t="shared" si="63"/>
        <v>332164.68624838546</v>
      </c>
      <c r="N150" s="44">
        <f t="shared" si="63"/>
        <v>335486.33311086928</v>
      </c>
      <c r="O150" s="44">
        <f t="shared" si="63"/>
        <v>338841.19644197798</v>
      </c>
      <c r="P150" s="44">
        <f t="shared" si="63"/>
        <v>342229.60840639775</v>
      </c>
      <c r="Q150" s="44">
        <f t="shared" si="63"/>
        <v>345651.90449046175</v>
      </c>
    </row>
    <row r="151" spans="1:17" ht="56.25">
      <c r="A151" s="36" t="s">
        <v>123</v>
      </c>
      <c r="B151" s="14" t="s">
        <v>100</v>
      </c>
      <c r="C151" s="44">
        <v>10062</v>
      </c>
      <c r="D151" s="44">
        <v>1310</v>
      </c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1:17" ht="24">
      <c r="A152" s="36" t="s">
        <v>124</v>
      </c>
      <c r="B152" s="14" t="s">
        <v>100</v>
      </c>
      <c r="C152" s="44">
        <v>88159</v>
      </c>
      <c r="D152" s="44">
        <v>57811.3</v>
      </c>
      <c r="E152" s="44">
        <v>20863</v>
      </c>
      <c r="F152" s="44">
        <v>21072</v>
      </c>
      <c r="G152" s="44">
        <f t="shared" si="63"/>
        <v>21282.720000000001</v>
      </c>
      <c r="H152" s="44">
        <f t="shared" si="63"/>
        <v>21495.547200000001</v>
      </c>
      <c r="I152" s="44">
        <f t="shared" si="63"/>
        <v>21710.502672000002</v>
      </c>
      <c r="J152" s="44">
        <f t="shared" si="63"/>
        <v>21927.607698720003</v>
      </c>
      <c r="K152" s="44">
        <f t="shared" si="63"/>
        <v>22146.883775707203</v>
      </c>
      <c r="L152" s="44">
        <f t="shared" si="63"/>
        <v>22368.352613464278</v>
      </c>
      <c r="M152" s="44">
        <f t="shared" si="63"/>
        <v>22592.03613959892</v>
      </c>
      <c r="N152" s="44">
        <f t="shared" si="63"/>
        <v>22817.956500994907</v>
      </c>
      <c r="O152" s="44">
        <f t="shared" si="63"/>
        <v>23046.136066004856</v>
      </c>
      <c r="P152" s="44">
        <f t="shared" si="63"/>
        <v>23276.597426664903</v>
      </c>
      <c r="Q152" s="44">
        <f t="shared" si="63"/>
        <v>23509.363400931554</v>
      </c>
    </row>
    <row r="153" spans="1:17" ht="24">
      <c r="A153" s="36" t="s">
        <v>125</v>
      </c>
      <c r="B153" s="14" t="s">
        <v>100</v>
      </c>
      <c r="C153" s="44">
        <v>-1527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1:17" ht="24">
      <c r="A154" s="1" t="s">
        <v>126</v>
      </c>
      <c r="B154" s="14" t="s">
        <v>100</v>
      </c>
      <c r="C154" s="44">
        <v>684988</v>
      </c>
      <c r="D154" s="44">
        <v>562825.80000000005</v>
      </c>
      <c r="E154" s="44">
        <v>508059.4</v>
      </c>
      <c r="F154" s="44">
        <v>513141</v>
      </c>
      <c r="G154" s="44">
        <f t="shared" si="63"/>
        <v>518272.41</v>
      </c>
      <c r="H154" s="44">
        <f t="shared" si="63"/>
        <v>523455.13409999997</v>
      </c>
      <c r="I154" s="44">
        <f t="shared" si="63"/>
        <v>528689.68544099992</v>
      </c>
      <c r="J154" s="44">
        <f t="shared" si="63"/>
        <v>533976.58229540987</v>
      </c>
      <c r="K154" s="44">
        <f t="shared" si="63"/>
        <v>539316.348118364</v>
      </c>
      <c r="L154" s="44">
        <f t="shared" si="63"/>
        <v>544709.5115995477</v>
      </c>
      <c r="M154" s="44">
        <f t="shared" si="63"/>
        <v>550156.6067155432</v>
      </c>
      <c r="N154" s="44">
        <f t="shared" si="63"/>
        <v>555658.17278269865</v>
      </c>
      <c r="O154" s="44">
        <f t="shared" si="63"/>
        <v>561214.75451052561</v>
      </c>
      <c r="P154" s="44">
        <f t="shared" si="63"/>
        <v>566826.90205563081</v>
      </c>
      <c r="Q154" s="44">
        <f t="shared" si="63"/>
        <v>572495.17107618717</v>
      </c>
    </row>
    <row r="155" spans="1:17" ht="24">
      <c r="A155" s="36" t="s">
        <v>127</v>
      </c>
      <c r="B155" s="14" t="s">
        <v>100</v>
      </c>
      <c r="C155" s="44">
        <v>32475</v>
      </c>
      <c r="D155" s="44">
        <v>33545</v>
      </c>
      <c r="E155" s="44">
        <v>32819.800000000003</v>
      </c>
      <c r="F155" s="44">
        <v>33148</v>
      </c>
      <c r="G155" s="44">
        <f t="shared" si="63"/>
        <v>33479.480000000003</v>
      </c>
      <c r="H155" s="44">
        <f t="shared" si="63"/>
        <v>33814.274800000007</v>
      </c>
      <c r="I155" s="44">
        <f t="shared" si="63"/>
        <v>34152.417548000005</v>
      </c>
      <c r="J155" s="44">
        <f t="shared" si="63"/>
        <v>34493.941723480006</v>
      </c>
      <c r="K155" s="44">
        <f t="shared" si="63"/>
        <v>34838.881140714802</v>
      </c>
      <c r="L155" s="44">
        <f t="shared" si="63"/>
        <v>35187.269952121947</v>
      </c>
      <c r="M155" s="44">
        <f t="shared" si="63"/>
        <v>35539.142651643167</v>
      </c>
      <c r="N155" s="44">
        <f t="shared" si="63"/>
        <v>35894.534078159595</v>
      </c>
      <c r="O155" s="44">
        <f t="shared" si="63"/>
        <v>36253.479418941191</v>
      </c>
      <c r="P155" s="44">
        <f t="shared" si="63"/>
        <v>36616.014213130606</v>
      </c>
      <c r="Q155" s="44">
        <f t="shared" si="63"/>
        <v>36982.174355261915</v>
      </c>
    </row>
    <row r="156" spans="1:17" ht="33.75">
      <c r="A156" s="33" t="s">
        <v>128</v>
      </c>
      <c r="B156" s="13" t="s">
        <v>100</v>
      </c>
      <c r="C156" s="44">
        <v>1837</v>
      </c>
      <c r="D156" s="44">
        <v>1663</v>
      </c>
      <c r="E156" s="44">
        <v>2539.5</v>
      </c>
      <c r="F156" s="44">
        <v>2585</v>
      </c>
      <c r="G156" s="44">
        <f t="shared" si="63"/>
        <v>2610.85</v>
      </c>
      <c r="H156" s="44">
        <f t="shared" si="63"/>
        <v>2636.9584999999997</v>
      </c>
      <c r="I156" s="44">
        <f t="shared" si="63"/>
        <v>2663.3280849999996</v>
      </c>
      <c r="J156" s="44">
        <f t="shared" si="63"/>
        <v>2689.9613658499998</v>
      </c>
      <c r="K156" s="44">
        <f t="shared" si="63"/>
        <v>2716.8609795084999</v>
      </c>
      <c r="L156" s="44">
        <f t="shared" si="63"/>
        <v>2744.0295893035845</v>
      </c>
      <c r="M156" s="44">
        <f t="shared" si="63"/>
        <v>2771.4698851966205</v>
      </c>
      <c r="N156" s="44">
        <f t="shared" si="63"/>
        <v>2799.1845840485867</v>
      </c>
      <c r="O156" s="44">
        <f t="shared" si="63"/>
        <v>2827.1764298890721</v>
      </c>
      <c r="P156" s="44">
        <f t="shared" si="63"/>
        <v>2855.4481941879626</v>
      </c>
      <c r="Q156" s="44">
        <f t="shared" si="63"/>
        <v>2884.0026761298423</v>
      </c>
    </row>
    <row r="157" spans="1:17" ht="24">
      <c r="A157" s="36" t="s">
        <v>129</v>
      </c>
      <c r="B157" s="14" t="s">
        <v>100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1:17" ht="24">
      <c r="A158" s="36" t="s">
        <v>130</v>
      </c>
      <c r="B158" s="14" t="s">
        <v>100</v>
      </c>
      <c r="C158" s="44">
        <v>97001</v>
      </c>
      <c r="D158" s="44">
        <v>70246.3</v>
      </c>
      <c r="E158" s="44">
        <v>36403.300000000003</v>
      </c>
      <c r="F158" s="44">
        <v>36768</v>
      </c>
      <c r="G158" s="44">
        <f t="shared" si="63"/>
        <v>37135.68</v>
      </c>
      <c r="H158" s="44">
        <f t="shared" si="63"/>
        <v>37507.036800000002</v>
      </c>
      <c r="I158" s="44">
        <f t="shared" si="63"/>
        <v>37882.107168000002</v>
      </c>
      <c r="J158" s="44">
        <f t="shared" si="63"/>
        <v>38260.928239680004</v>
      </c>
      <c r="K158" s="44">
        <f t="shared" si="63"/>
        <v>38643.537522076804</v>
      </c>
      <c r="L158" s="44">
        <f t="shared" si="63"/>
        <v>39029.972897297572</v>
      </c>
      <c r="M158" s="44">
        <f t="shared" si="63"/>
        <v>39420.272626270547</v>
      </c>
      <c r="N158" s="44">
        <f t="shared" si="63"/>
        <v>39814.475352533256</v>
      </c>
      <c r="O158" s="44">
        <f t="shared" si="63"/>
        <v>40212.620106058588</v>
      </c>
      <c r="P158" s="44">
        <f t="shared" si="63"/>
        <v>40614.746307119174</v>
      </c>
      <c r="Q158" s="44">
        <f t="shared" si="63"/>
        <v>41020.893770190363</v>
      </c>
    </row>
    <row r="159" spans="1:17" ht="24">
      <c r="A159" s="36" t="s">
        <v>131</v>
      </c>
      <c r="B159" s="14" t="s">
        <v>100</v>
      </c>
      <c r="C159" s="44">
        <v>9577</v>
      </c>
      <c r="D159" s="44">
        <v>2794</v>
      </c>
      <c r="E159" s="44">
        <v>1243.3</v>
      </c>
      <c r="F159" s="44">
        <v>1256</v>
      </c>
      <c r="G159" s="44">
        <f t="shared" si="63"/>
        <v>1268.56</v>
      </c>
      <c r="H159" s="44">
        <f t="shared" si="63"/>
        <v>1281.2456</v>
      </c>
      <c r="I159" s="44">
        <f t="shared" si="63"/>
        <v>1294.0580559999999</v>
      </c>
      <c r="J159" s="44">
        <f t="shared" si="63"/>
        <v>1306.9986365599998</v>
      </c>
      <c r="K159" s="44">
        <f t="shared" si="63"/>
        <v>1320.0686229255998</v>
      </c>
      <c r="L159" s="44">
        <f t="shared" si="63"/>
        <v>1333.2693091548558</v>
      </c>
      <c r="M159" s="44">
        <f t="shared" si="63"/>
        <v>1346.6020022464043</v>
      </c>
      <c r="N159" s="44">
        <f t="shared" si="63"/>
        <v>1360.0680222688682</v>
      </c>
      <c r="O159" s="44">
        <f t="shared" si="63"/>
        <v>1373.6687024915568</v>
      </c>
      <c r="P159" s="44">
        <f t="shared" si="63"/>
        <v>1387.4053895164723</v>
      </c>
      <c r="Q159" s="44">
        <f t="shared" si="63"/>
        <v>1401.279443411637</v>
      </c>
    </row>
    <row r="160" spans="1:17" ht="24">
      <c r="A160" s="36" t="s">
        <v>132</v>
      </c>
      <c r="B160" s="14" t="s">
        <v>100</v>
      </c>
      <c r="C160" s="44">
        <v>459827</v>
      </c>
      <c r="D160" s="44">
        <v>407847</v>
      </c>
      <c r="E160" s="44">
        <v>400847</v>
      </c>
      <c r="F160" s="44">
        <v>404850</v>
      </c>
      <c r="G160" s="44">
        <f t="shared" si="63"/>
        <v>408898.5</v>
      </c>
      <c r="H160" s="44">
        <f t="shared" si="63"/>
        <v>412987.48499999999</v>
      </c>
      <c r="I160" s="44">
        <f t="shared" si="63"/>
        <v>417117.35985000001</v>
      </c>
      <c r="J160" s="44">
        <f t="shared" si="63"/>
        <v>421288.53344850003</v>
      </c>
      <c r="K160" s="44">
        <f t="shared" si="63"/>
        <v>425501.41878298507</v>
      </c>
      <c r="L160" s="44">
        <f t="shared" si="63"/>
        <v>429756.43297081493</v>
      </c>
      <c r="M160" s="44">
        <f t="shared" si="63"/>
        <v>434053.9973005231</v>
      </c>
      <c r="N160" s="44">
        <f t="shared" si="63"/>
        <v>438394.53727352835</v>
      </c>
      <c r="O160" s="44">
        <f t="shared" si="63"/>
        <v>442778.48264626361</v>
      </c>
      <c r="P160" s="44">
        <f t="shared" si="63"/>
        <v>447206.26747272623</v>
      </c>
      <c r="Q160" s="44">
        <f t="shared" si="63"/>
        <v>451678.33014745347</v>
      </c>
    </row>
    <row r="161" spans="1:17" ht="24">
      <c r="A161" s="36" t="s">
        <v>133</v>
      </c>
      <c r="B161" s="14" t="s">
        <v>100</v>
      </c>
      <c r="C161" s="44">
        <v>11491</v>
      </c>
      <c r="D161" s="44">
        <v>19375</v>
      </c>
      <c r="E161" s="44">
        <v>14882.4</v>
      </c>
      <c r="F161" s="44">
        <v>15031</v>
      </c>
      <c r="G161" s="44">
        <f t="shared" si="63"/>
        <v>15181.31</v>
      </c>
      <c r="H161" s="44">
        <f t="shared" si="63"/>
        <v>15333.123100000001</v>
      </c>
      <c r="I161" s="44">
        <f t="shared" si="63"/>
        <v>15486.454331000001</v>
      </c>
      <c r="J161" s="44">
        <f t="shared" si="63"/>
        <v>15641.318874310002</v>
      </c>
      <c r="K161" s="44">
        <f t="shared" si="63"/>
        <v>15797.732063053101</v>
      </c>
      <c r="L161" s="44">
        <f t="shared" si="63"/>
        <v>15955.709383683634</v>
      </c>
      <c r="M161" s="44">
        <f t="shared" si="63"/>
        <v>16115.26647752047</v>
      </c>
      <c r="N161" s="44">
        <f t="shared" si="63"/>
        <v>16276.419142295674</v>
      </c>
      <c r="O161" s="44">
        <f t="shared" si="63"/>
        <v>16439.183333718629</v>
      </c>
      <c r="P161" s="44">
        <f t="shared" si="63"/>
        <v>16603.575167055813</v>
      </c>
      <c r="Q161" s="44">
        <f t="shared" si="63"/>
        <v>16769.610918726372</v>
      </c>
    </row>
    <row r="162" spans="1:17" ht="24">
      <c r="A162" s="36" t="s">
        <v>134</v>
      </c>
      <c r="B162" s="14" t="s">
        <v>100</v>
      </c>
      <c r="C162" s="44">
        <v>24201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1:17" ht="24">
      <c r="A163" s="36" t="s">
        <v>135</v>
      </c>
      <c r="B163" s="14" t="s">
        <v>100</v>
      </c>
      <c r="C163" s="44">
        <v>44216</v>
      </c>
      <c r="D163" s="44">
        <v>21804.6</v>
      </c>
      <c r="E163" s="44">
        <v>14206.2</v>
      </c>
      <c r="F163" s="44">
        <v>14348</v>
      </c>
      <c r="G163" s="44">
        <f t="shared" si="63"/>
        <v>14491.48</v>
      </c>
      <c r="H163" s="44">
        <f t="shared" si="63"/>
        <v>14636.3948</v>
      </c>
      <c r="I163" s="44">
        <f t="shared" si="63"/>
        <v>14782.758748</v>
      </c>
      <c r="J163" s="44">
        <f t="shared" si="63"/>
        <v>14930.586335480002</v>
      </c>
      <c r="K163" s="44">
        <f t="shared" si="63"/>
        <v>15079.892198834801</v>
      </c>
      <c r="L163" s="44">
        <f t="shared" si="63"/>
        <v>15230.691120823149</v>
      </c>
      <c r="M163" s="44">
        <f t="shared" si="63"/>
        <v>15382.998032031381</v>
      </c>
      <c r="N163" s="44">
        <f t="shared" si="63"/>
        <v>15536.828012351694</v>
      </c>
      <c r="O163" s="44">
        <f t="shared" si="63"/>
        <v>15692.19629247521</v>
      </c>
      <c r="P163" s="44">
        <f t="shared" si="63"/>
        <v>15849.118255399961</v>
      </c>
      <c r="Q163" s="44">
        <f t="shared" ref="Q163" si="64">SUM(P163*101/100)</f>
        <v>16007.609437953961</v>
      </c>
    </row>
    <row r="164" spans="1:17" ht="24">
      <c r="A164" s="36" t="s">
        <v>136</v>
      </c>
      <c r="B164" s="14" t="s">
        <v>100</v>
      </c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1:17" ht="23.45" customHeight="1">
      <c r="A165" s="36" t="s">
        <v>137</v>
      </c>
      <c r="B165" s="14" t="s">
        <v>100</v>
      </c>
      <c r="C165" s="44">
        <v>27298</v>
      </c>
      <c r="D165" s="44">
        <v>18442</v>
      </c>
      <c r="E165" s="44">
        <v>13305</v>
      </c>
      <c r="F165" s="44">
        <v>13438</v>
      </c>
      <c r="G165" s="44">
        <f t="shared" si="63"/>
        <v>13572.38</v>
      </c>
      <c r="H165" s="44">
        <f t="shared" ref="H165:Q165" si="65">SUM(G165*101/100)</f>
        <v>13708.103799999999</v>
      </c>
      <c r="I165" s="44">
        <f t="shared" si="65"/>
        <v>13845.184837999997</v>
      </c>
      <c r="J165" s="44">
        <f t="shared" si="65"/>
        <v>13983.636686379998</v>
      </c>
      <c r="K165" s="44">
        <f t="shared" si="65"/>
        <v>14123.473053243799</v>
      </c>
      <c r="L165" s="44">
        <f t="shared" si="65"/>
        <v>14264.707783776237</v>
      </c>
      <c r="M165" s="44">
        <f t="shared" si="65"/>
        <v>14407.354861613998</v>
      </c>
      <c r="N165" s="44">
        <f t="shared" si="65"/>
        <v>14551.428410230137</v>
      </c>
      <c r="O165" s="44">
        <f t="shared" si="65"/>
        <v>14696.94269433244</v>
      </c>
      <c r="P165" s="44">
        <f t="shared" si="65"/>
        <v>14843.912121275764</v>
      </c>
      <c r="Q165" s="44">
        <f t="shared" si="65"/>
        <v>14992.351242488519</v>
      </c>
    </row>
    <row r="166" spans="1:17" ht="24">
      <c r="A166" s="36" t="s">
        <v>138</v>
      </c>
      <c r="B166" s="14" t="s">
        <v>100</v>
      </c>
      <c r="C166" s="44">
        <v>5534</v>
      </c>
      <c r="D166" s="44">
        <v>5335.8</v>
      </c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1:17" ht="24">
      <c r="A167" s="36" t="s">
        <v>139</v>
      </c>
      <c r="B167" s="14" t="s">
        <v>100</v>
      </c>
      <c r="C167" s="44">
        <v>11384</v>
      </c>
      <c r="D167" s="44">
        <v>1973.2</v>
      </c>
      <c r="E167" s="44">
        <v>901.2</v>
      </c>
      <c r="F167" s="44">
        <v>910</v>
      </c>
      <c r="G167" s="44">
        <f t="shared" si="63"/>
        <v>919.1</v>
      </c>
      <c r="H167" s="44">
        <f t="shared" ref="H167:Q168" si="66">SUM(G167*101/100)</f>
        <v>928.29100000000005</v>
      </c>
      <c r="I167" s="44">
        <f t="shared" si="66"/>
        <v>937.57391000000007</v>
      </c>
      <c r="J167" s="44">
        <f t="shared" si="66"/>
        <v>946.9496491000001</v>
      </c>
      <c r="K167" s="44">
        <f t="shared" si="66"/>
        <v>956.41914559100007</v>
      </c>
      <c r="L167" s="44">
        <f t="shared" si="66"/>
        <v>965.98333704691004</v>
      </c>
      <c r="M167" s="44">
        <f t="shared" si="66"/>
        <v>975.64317041737911</v>
      </c>
      <c r="N167" s="44">
        <f t="shared" si="66"/>
        <v>985.3996021215529</v>
      </c>
      <c r="O167" s="44">
        <f t="shared" si="66"/>
        <v>995.25359814276851</v>
      </c>
      <c r="P167" s="44">
        <f t="shared" si="66"/>
        <v>1005.2061341241963</v>
      </c>
      <c r="Q167" s="44">
        <f t="shared" si="66"/>
        <v>1015.2581954654383</v>
      </c>
    </row>
    <row r="168" spans="1:17" ht="24">
      <c r="A168" s="36" t="s">
        <v>140</v>
      </c>
      <c r="B168" s="14" t="s">
        <v>100</v>
      </c>
      <c r="C168" s="44">
        <v>3837</v>
      </c>
      <c r="D168" s="44">
        <v>4374.7</v>
      </c>
      <c r="E168" s="44">
        <v>3995.9</v>
      </c>
      <c r="F168" s="44">
        <v>4036</v>
      </c>
      <c r="G168" s="44">
        <f t="shared" si="63"/>
        <v>4076.36</v>
      </c>
      <c r="H168" s="44">
        <f t="shared" si="66"/>
        <v>4117.1235999999999</v>
      </c>
      <c r="I168" s="44">
        <f t="shared" si="66"/>
        <v>4158.294836</v>
      </c>
      <c r="J168" s="44">
        <f t="shared" si="66"/>
        <v>4199.8777843600001</v>
      </c>
      <c r="K168" s="44">
        <f t="shared" si="66"/>
        <v>4241.8765622035999</v>
      </c>
      <c r="L168" s="44">
        <f t="shared" si="66"/>
        <v>4284.2953278256355</v>
      </c>
      <c r="M168" s="44">
        <f t="shared" si="66"/>
        <v>4327.138281103892</v>
      </c>
      <c r="N168" s="44">
        <f t="shared" si="66"/>
        <v>4370.4096639149311</v>
      </c>
      <c r="O168" s="44">
        <f t="shared" si="66"/>
        <v>4414.1137605540807</v>
      </c>
      <c r="P168" s="44">
        <f t="shared" si="66"/>
        <v>4458.2548981596219</v>
      </c>
      <c r="Q168" s="44">
        <f t="shared" si="66"/>
        <v>4502.837447141218</v>
      </c>
    </row>
    <row r="169" spans="1:17" ht="24">
      <c r="A169" s="36" t="s">
        <v>141</v>
      </c>
      <c r="B169" s="14" t="s">
        <v>100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1:17" ht="46.9" customHeight="1">
      <c r="A170" s="36" t="s">
        <v>142</v>
      </c>
      <c r="B170" s="14" t="s">
        <v>100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1:17" ht="46.9" customHeight="1">
      <c r="A171" s="36" t="s">
        <v>223</v>
      </c>
      <c r="B171" s="14" t="s">
        <v>95</v>
      </c>
      <c r="C171" s="44">
        <v>-33973</v>
      </c>
      <c r="D171" s="44">
        <v>-2319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</row>
    <row r="172" spans="1:17" ht="22.5">
      <c r="A172" s="21" t="s">
        <v>143</v>
      </c>
      <c r="B172" s="1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1:17">
      <c r="A173" s="38" t="s">
        <v>144</v>
      </c>
      <c r="B173" s="12" t="s">
        <v>95</v>
      </c>
      <c r="C173" s="52">
        <v>3244.5810000000001</v>
      </c>
      <c r="D173" s="52">
        <f>SUM(C173*102/100)</f>
        <v>3309.47262</v>
      </c>
      <c r="E173" s="52">
        <f t="shared" ref="E173:Q173" si="67">SUM(D173*102/100)</f>
        <v>3375.6620724000004</v>
      </c>
      <c r="F173" s="52">
        <f t="shared" si="67"/>
        <v>3443.1753138480003</v>
      </c>
      <c r="G173" s="52">
        <f t="shared" si="67"/>
        <v>3512.0388201249602</v>
      </c>
      <c r="H173" s="52">
        <f t="shared" si="67"/>
        <v>3582.279596527459</v>
      </c>
      <c r="I173" s="52">
        <f t="shared" si="67"/>
        <v>3653.9251884580085</v>
      </c>
      <c r="J173" s="52">
        <f t="shared" si="67"/>
        <v>3727.0036922271688</v>
      </c>
      <c r="K173" s="52">
        <f t="shared" si="67"/>
        <v>3801.5437660717121</v>
      </c>
      <c r="L173" s="52">
        <f t="shared" si="67"/>
        <v>3877.5746413931465</v>
      </c>
      <c r="M173" s="52">
        <f t="shared" si="67"/>
        <v>3955.1261342210096</v>
      </c>
      <c r="N173" s="52">
        <f t="shared" si="67"/>
        <v>4034.2286569054295</v>
      </c>
      <c r="O173" s="52">
        <f t="shared" si="67"/>
        <v>4114.9132300435376</v>
      </c>
      <c r="P173" s="52">
        <f t="shared" si="67"/>
        <v>4197.211494644408</v>
      </c>
      <c r="Q173" s="52">
        <f t="shared" si="67"/>
        <v>4281.155724537296</v>
      </c>
    </row>
    <row r="174" spans="1:17">
      <c r="A174" s="26" t="s">
        <v>88</v>
      </c>
      <c r="B174" s="15"/>
      <c r="C174" s="44"/>
      <c r="D174" s="52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1:17" ht="22.5">
      <c r="A175" s="22" t="s">
        <v>145</v>
      </c>
      <c r="B175" s="12" t="s">
        <v>95</v>
      </c>
      <c r="C175" s="44">
        <v>191.02</v>
      </c>
      <c r="D175" s="52">
        <f t="shared" ref="D175:Q184" si="68">SUM(C175*102/100)</f>
        <v>194.84040000000002</v>
      </c>
      <c r="E175" s="52">
        <f t="shared" si="68"/>
        <v>198.73720800000004</v>
      </c>
      <c r="F175" s="52">
        <f t="shared" si="68"/>
        <v>202.71195216000004</v>
      </c>
      <c r="G175" s="52">
        <f t="shared" si="68"/>
        <v>206.76619120320004</v>
      </c>
      <c r="H175" s="52">
        <f t="shared" si="68"/>
        <v>210.90151502726403</v>
      </c>
      <c r="I175" s="52">
        <f t="shared" si="68"/>
        <v>215.11954532780931</v>
      </c>
      <c r="J175" s="52">
        <f t="shared" si="68"/>
        <v>219.42193623436549</v>
      </c>
      <c r="K175" s="52">
        <f t="shared" si="68"/>
        <v>223.81037495905278</v>
      </c>
      <c r="L175" s="52">
        <f t="shared" si="68"/>
        <v>228.28658245823382</v>
      </c>
      <c r="M175" s="52">
        <f t="shared" si="68"/>
        <v>232.85231410739848</v>
      </c>
      <c r="N175" s="52">
        <f t="shared" si="68"/>
        <v>237.50936038954646</v>
      </c>
      <c r="O175" s="52">
        <f t="shared" si="68"/>
        <v>242.25954759733742</v>
      </c>
      <c r="P175" s="52">
        <f t="shared" si="68"/>
        <v>247.10473854928415</v>
      </c>
      <c r="Q175" s="52">
        <f t="shared" si="68"/>
        <v>252.04683332026983</v>
      </c>
    </row>
    <row r="176" spans="1:17" ht="33.75">
      <c r="A176" s="22" t="s">
        <v>146</v>
      </c>
      <c r="B176" s="12" t="s">
        <v>95</v>
      </c>
      <c r="C176" s="44">
        <v>1523.48</v>
      </c>
      <c r="D176" s="52">
        <f t="shared" si="68"/>
        <v>1553.9495999999999</v>
      </c>
      <c r="E176" s="52">
        <f t="shared" si="68"/>
        <v>1585.0285920000001</v>
      </c>
      <c r="F176" s="52">
        <f t="shared" si="68"/>
        <v>1616.7291638400002</v>
      </c>
      <c r="G176" s="52">
        <f t="shared" si="68"/>
        <v>1649.0637471168002</v>
      </c>
      <c r="H176" s="52">
        <f t="shared" si="68"/>
        <v>1682.0450220591363</v>
      </c>
      <c r="I176" s="52">
        <f t="shared" si="68"/>
        <v>1715.6859225003191</v>
      </c>
      <c r="J176" s="52">
        <f t="shared" si="68"/>
        <v>1749.9996409503253</v>
      </c>
      <c r="K176" s="52">
        <f t="shared" si="68"/>
        <v>1784.9996337693319</v>
      </c>
      <c r="L176" s="52">
        <f t="shared" si="68"/>
        <v>1820.6996264447184</v>
      </c>
      <c r="M176" s="52">
        <f t="shared" si="68"/>
        <v>1857.1136189736128</v>
      </c>
      <c r="N176" s="52">
        <f t="shared" si="68"/>
        <v>1894.2558913530852</v>
      </c>
      <c r="O176" s="52">
        <f t="shared" si="68"/>
        <v>1932.1410091801467</v>
      </c>
      <c r="P176" s="52">
        <f t="shared" si="68"/>
        <v>1970.7838293637496</v>
      </c>
      <c r="Q176" s="52">
        <f t="shared" si="68"/>
        <v>2010.1995059510248</v>
      </c>
    </row>
    <row r="177" spans="1:17">
      <c r="A177" s="22" t="s">
        <v>147</v>
      </c>
      <c r="B177" s="12" t="s">
        <v>95</v>
      </c>
      <c r="C177" s="44">
        <v>1264.8</v>
      </c>
      <c r="D177" s="52">
        <f t="shared" si="68"/>
        <v>1290.096</v>
      </c>
      <c r="E177" s="52">
        <f t="shared" si="68"/>
        <v>1315.8979199999999</v>
      </c>
      <c r="F177" s="52">
        <f t="shared" si="68"/>
        <v>1342.2158783999998</v>
      </c>
      <c r="G177" s="52">
        <f t="shared" si="68"/>
        <v>1369.0601959679998</v>
      </c>
      <c r="H177" s="52">
        <f t="shared" si="68"/>
        <v>1396.4413998873599</v>
      </c>
      <c r="I177" s="52">
        <f t="shared" si="68"/>
        <v>1424.3702278851072</v>
      </c>
      <c r="J177" s="52">
        <f t="shared" si="68"/>
        <v>1452.8576324428095</v>
      </c>
      <c r="K177" s="52">
        <f t="shared" si="68"/>
        <v>1481.9147850916656</v>
      </c>
      <c r="L177" s="52">
        <f t="shared" si="68"/>
        <v>1511.553080793499</v>
      </c>
      <c r="M177" s="52">
        <f t="shared" si="68"/>
        <v>1541.784142409369</v>
      </c>
      <c r="N177" s="52">
        <f t="shared" si="68"/>
        <v>1572.6198252575566</v>
      </c>
      <c r="O177" s="52">
        <f t="shared" si="68"/>
        <v>1604.0722217627076</v>
      </c>
      <c r="P177" s="52">
        <f t="shared" si="68"/>
        <v>1636.1536661979617</v>
      </c>
      <c r="Q177" s="52">
        <f t="shared" si="68"/>
        <v>1668.8767395219211</v>
      </c>
    </row>
    <row r="178" spans="1:17">
      <c r="A178" s="26" t="s">
        <v>148</v>
      </c>
      <c r="B178" s="11" t="s">
        <v>95</v>
      </c>
      <c r="C178" s="44">
        <v>1159.71</v>
      </c>
      <c r="D178" s="52">
        <f t="shared" si="68"/>
        <v>1182.9041999999999</v>
      </c>
      <c r="E178" s="52">
        <f t="shared" si="68"/>
        <v>1206.5622839999999</v>
      </c>
      <c r="F178" s="52">
        <f t="shared" si="68"/>
        <v>1230.69352968</v>
      </c>
      <c r="G178" s="52">
        <f t="shared" si="68"/>
        <v>1255.3074002736</v>
      </c>
      <c r="H178" s="52">
        <f t="shared" si="68"/>
        <v>1280.4135482790721</v>
      </c>
      <c r="I178" s="52">
        <f t="shared" si="68"/>
        <v>1306.0218192446534</v>
      </c>
      <c r="J178" s="52">
        <f t="shared" si="68"/>
        <v>1332.1422556295465</v>
      </c>
      <c r="K178" s="52">
        <f t="shared" si="68"/>
        <v>1358.7851007421375</v>
      </c>
      <c r="L178" s="52">
        <f t="shared" si="68"/>
        <v>1385.9608027569802</v>
      </c>
      <c r="M178" s="52">
        <f t="shared" si="68"/>
        <v>1413.6800188121199</v>
      </c>
      <c r="N178" s="52">
        <f t="shared" si="68"/>
        <v>1441.9536191883622</v>
      </c>
      <c r="O178" s="52">
        <f t="shared" si="68"/>
        <v>1470.7926915721293</v>
      </c>
      <c r="P178" s="52">
        <f t="shared" si="68"/>
        <v>1500.2085454035719</v>
      </c>
      <c r="Q178" s="52">
        <f t="shared" si="68"/>
        <v>1530.2127163116434</v>
      </c>
    </row>
    <row r="179" spans="1:17">
      <c r="A179" s="26" t="s">
        <v>149</v>
      </c>
      <c r="B179" s="11" t="s">
        <v>95</v>
      </c>
      <c r="C179" s="44">
        <v>105.104</v>
      </c>
      <c r="D179" s="52">
        <f t="shared" si="68"/>
        <v>107.20608</v>
      </c>
      <c r="E179" s="52">
        <f t="shared" si="68"/>
        <v>109.35020160000001</v>
      </c>
      <c r="F179" s="52">
        <f t="shared" si="68"/>
        <v>111.53720563200001</v>
      </c>
      <c r="G179" s="52">
        <f t="shared" si="68"/>
        <v>113.76794974464001</v>
      </c>
      <c r="H179" s="52">
        <f t="shared" si="68"/>
        <v>116.0433087395328</v>
      </c>
      <c r="I179" s="52">
        <f t="shared" si="68"/>
        <v>118.36417491432347</v>
      </c>
      <c r="J179" s="52">
        <f t="shared" si="68"/>
        <v>120.73145841260994</v>
      </c>
      <c r="K179" s="52">
        <f t="shared" si="68"/>
        <v>123.14608758086213</v>
      </c>
      <c r="L179" s="52">
        <f t="shared" si="68"/>
        <v>125.60900933247936</v>
      </c>
      <c r="M179" s="52">
        <f t="shared" si="68"/>
        <v>128.12118951912896</v>
      </c>
      <c r="N179" s="52">
        <f t="shared" si="68"/>
        <v>130.68361330951154</v>
      </c>
      <c r="O179" s="52">
        <f t="shared" si="68"/>
        <v>133.29728557570178</v>
      </c>
      <c r="P179" s="52">
        <f t="shared" si="68"/>
        <v>135.96323128721582</v>
      </c>
      <c r="Q179" s="52">
        <f t="shared" si="68"/>
        <v>138.68249591296012</v>
      </c>
    </row>
    <row r="180" spans="1:17" ht="22.5">
      <c r="A180" s="26" t="s">
        <v>150</v>
      </c>
      <c r="B180" s="11" t="s">
        <v>95</v>
      </c>
      <c r="C180" s="44">
        <v>195.393</v>
      </c>
      <c r="D180" s="52">
        <f t="shared" si="68"/>
        <v>199.30086</v>
      </c>
      <c r="E180" s="52">
        <f t="shared" si="68"/>
        <v>203.28687720000002</v>
      </c>
      <c r="F180" s="52">
        <f t="shared" si="68"/>
        <v>207.35261474400002</v>
      </c>
      <c r="G180" s="52">
        <f t="shared" si="68"/>
        <v>211.49966703888003</v>
      </c>
      <c r="H180" s="52">
        <f t="shared" si="68"/>
        <v>215.72966037965764</v>
      </c>
      <c r="I180" s="52">
        <f t="shared" si="68"/>
        <v>220.04425358725078</v>
      </c>
      <c r="J180" s="52">
        <f t="shared" si="68"/>
        <v>224.44513865899577</v>
      </c>
      <c r="K180" s="52">
        <f t="shared" si="68"/>
        <v>228.93404143217569</v>
      </c>
      <c r="L180" s="52">
        <f t="shared" si="68"/>
        <v>233.5127222608192</v>
      </c>
      <c r="M180" s="52">
        <f t="shared" si="68"/>
        <v>238.18297670603559</v>
      </c>
      <c r="N180" s="52">
        <f t="shared" si="68"/>
        <v>242.94663624015629</v>
      </c>
      <c r="O180" s="52">
        <f t="shared" si="68"/>
        <v>247.80556896495943</v>
      </c>
      <c r="P180" s="52">
        <f t="shared" si="68"/>
        <v>252.76168034425865</v>
      </c>
      <c r="Q180" s="52">
        <f t="shared" si="68"/>
        <v>257.81691395114382</v>
      </c>
    </row>
    <row r="181" spans="1:17">
      <c r="A181" s="22" t="s">
        <v>151</v>
      </c>
      <c r="B181" s="12" t="s">
        <v>95</v>
      </c>
      <c r="C181" s="44">
        <v>0</v>
      </c>
      <c r="D181" s="45">
        <f t="shared" si="68"/>
        <v>0</v>
      </c>
      <c r="E181" s="45">
        <f t="shared" si="68"/>
        <v>0</v>
      </c>
      <c r="F181" s="45">
        <f t="shared" si="68"/>
        <v>0</v>
      </c>
      <c r="G181" s="45">
        <f t="shared" si="68"/>
        <v>0</v>
      </c>
      <c r="H181" s="45">
        <f t="shared" si="68"/>
        <v>0</v>
      </c>
      <c r="I181" s="45">
        <f t="shared" si="68"/>
        <v>0</v>
      </c>
      <c r="J181" s="45">
        <f t="shared" si="68"/>
        <v>0</v>
      </c>
      <c r="K181" s="45">
        <f t="shared" si="68"/>
        <v>0</v>
      </c>
      <c r="L181" s="45">
        <f t="shared" si="68"/>
        <v>0</v>
      </c>
      <c r="M181" s="45">
        <f t="shared" si="68"/>
        <v>0</v>
      </c>
      <c r="N181" s="45">
        <f t="shared" si="68"/>
        <v>0</v>
      </c>
      <c r="O181" s="45">
        <f t="shared" si="68"/>
        <v>0</v>
      </c>
      <c r="P181" s="45">
        <f t="shared" si="68"/>
        <v>0</v>
      </c>
      <c r="Q181" s="45">
        <f t="shared" si="68"/>
        <v>0</v>
      </c>
    </row>
    <row r="182" spans="1:17">
      <c r="A182" s="26" t="s">
        <v>152</v>
      </c>
      <c r="B182" s="11" t="s">
        <v>95</v>
      </c>
      <c r="C182" s="44">
        <v>69.876000000000005</v>
      </c>
      <c r="D182" s="52">
        <f t="shared" si="68"/>
        <v>71.273520000000005</v>
      </c>
      <c r="E182" s="52">
        <f t="shared" si="68"/>
        <v>72.6989904</v>
      </c>
      <c r="F182" s="52">
        <f t="shared" si="68"/>
        <v>74.152970207999999</v>
      </c>
      <c r="G182" s="52">
        <f t="shared" si="68"/>
        <v>75.636029612160002</v>
      </c>
      <c r="H182" s="52">
        <f t="shared" si="68"/>
        <v>77.1487502044032</v>
      </c>
      <c r="I182" s="52">
        <f t="shared" si="68"/>
        <v>78.691725208491263</v>
      </c>
      <c r="J182" s="52">
        <f t="shared" si="68"/>
        <v>80.265559712661087</v>
      </c>
      <c r="K182" s="52">
        <f t="shared" si="68"/>
        <v>81.870870906914305</v>
      </c>
      <c r="L182" s="52">
        <f t="shared" si="68"/>
        <v>83.508288325052604</v>
      </c>
      <c r="M182" s="52">
        <f t="shared" si="68"/>
        <v>85.178454091553647</v>
      </c>
      <c r="N182" s="52">
        <f t="shared" si="68"/>
        <v>86.882023173384709</v>
      </c>
      <c r="O182" s="52">
        <f t="shared" si="68"/>
        <v>88.619663636852408</v>
      </c>
      <c r="P182" s="52">
        <f t="shared" si="68"/>
        <v>90.392056909589471</v>
      </c>
      <c r="Q182" s="52">
        <f t="shared" si="68"/>
        <v>92.199898047781261</v>
      </c>
    </row>
    <row r="183" spans="1:17" ht="22.5">
      <c r="A183" s="22" t="s">
        <v>153</v>
      </c>
      <c r="B183" s="12" t="s">
        <v>154</v>
      </c>
      <c r="C183" s="44">
        <v>5658</v>
      </c>
      <c r="D183" s="52">
        <f t="shared" si="68"/>
        <v>5771.16</v>
      </c>
      <c r="E183" s="52">
        <f t="shared" si="68"/>
        <v>5886.5831999999991</v>
      </c>
      <c r="F183" s="52">
        <f t="shared" si="68"/>
        <v>6004.314863999999</v>
      </c>
      <c r="G183" s="52">
        <f t="shared" si="68"/>
        <v>6124.4011612799986</v>
      </c>
      <c r="H183" s="52">
        <f t="shared" si="68"/>
        <v>6246.8891845055987</v>
      </c>
      <c r="I183" s="52">
        <f t="shared" si="68"/>
        <v>6371.8269681957108</v>
      </c>
      <c r="J183" s="52">
        <f t="shared" si="68"/>
        <v>6499.2635075596254</v>
      </c>
      <c r="K183" s="52">
        <f t="shared" si="68"/>
        <v>6629.2487777108172</v>
      </c>
      <c r="L183" s="52">
        <f t="shared" si="68"/>
        <v>6761.833753265033</v>
      </c>
      <c r="M183" s="52">
        <f t="shared" si="68"/>
        <v>6897.0704283303339</v>
      </c>
      <c r="N183" s="52">
        <f t="shared" si="68"/>
        <v>7035.0118368969406</v>
      </c>
      <c r="O183" s="52">
        <f t="shared" si="68"/>
        <v>7175.7120736348788</v>
      </c>
      <c r="P183" s="52">
        <f t="shared" si="68"/>
        <v>7319.2263151075758</v>
      </c>
      <c r="Q183" s="52">
        <f t="shared" si="68"/>
        <v>7465.6108414097271</v>
      </c>
    </row>
    <row r="184" spans="1:17">
      <c r="A184" s="38" t="s">
        <v>155</v>
      </c>
      <c r="B184" s="12" t="s">
        <v>95</v>
      </c>
      <c r="C184" s="44">
        <v>9798.7160000000003</v>
      </c>
      <c r="D184" s="52">
        <f t="shared" si="68"/>
        <v>9994.6903199999997</v>
      </c>
      <c r="E184" s="52">
        <f t="shared" si="68"/>
        <v>10194.584126399999</v>
      </c>
      <c r="F184" s="52">
        <f t="shared" si="68"/>
        <v>10398.475808927999</v>
      </c>
      <c r="G184" s="52">
        <f t="shared" si="68"/>
        <v>10606.445325106559</v>
      </c>
      <c r="H184" s="52">
        <f t="shared" si="68"/>
        <v>10818.574231608689</v>
      </c>
      <c r="I184" s="52">
        <f t="shared" si="68"/>
        <v>11034.945716240862</v>
      </c>
      <c r="J184" s="52">
        <f t="shared" si="68"/>
        <v>11255.644630565679</v>
      </c>
      <c r="K184" s="52">
        <f t="shared" si="68"/>
        <v>11480.757523176993</v>
      </c>
      <c r="L184" s="52">
        <f t="shared" si="68"/>
        <v>11710.372673640533</v>
      </c>
      <c r="M184" s="52">
        <f t="shared" si="68"/>
        <v>11944.580127113346</v>
      </c>
      <c r="N184" s="52">
        <f t="shared" si="68"/>
        <v>12183.471729655612</v>
      </c>
      <c r="O184" s="52">
        <f t="shared" si="68"/>
        <v>12427.141164248724</v>
      </c>
      <c r="P184" s="52">
        <f t="shared" si="68"/>
        <v>12675.683987533699</v>
      </c>
      <c r="Q184" s="52">
        <f t="shared" si="68"/>
        <v>12929.197667284372</v>
      </c>
    </row>
    <row r="185" spans="1:17">
      <c r="A185" s="26" t="s">
        <v>88</v>
      </c>
      <c r="B185" s="15"/>
      <c r="C185" s="44"/>
      <c r="D185" s="52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1:17">
      <c r="A186" s="53" t="s">
        <v>224</v>
      </c>
      <c r="B186" s="12" t="s">
        <v>95</v>
      </c>
      <c r="C186" s="44">
        <v>252.9</v>
      </c>
      <c r="D186" s="52">
        <f t="shared" ref="D186:Q186" si="69">SUM(C186*102/100)</f>
        <v>257.95799999999997</v>
      </c>
      <c r="E186" s="52">
        <f t="shared" si="69"/>
        <v>263.11715999999996</v>
      </c>
      <c r="F186" s="52">
        <f t="shared" si="69"/>
        <v>268.37950319999999</v>
      </c>
      <c r="G186" s="52">
        <f t="shared" si="69"/>
        <v>273.747093264</v>
      </c>
      <c r="H186" s="52">
        <f t="shared" si="69"/>
        <v>279.22203512928002</v>
      </c>
      <c r="I186" s="52">
        <f t="shared" si="69"/>
        <v>284.80647583186561</v>
      </c>
      <c r="J186" s="52">
        <f t="shared" si="69"/>
        <v>290.50260534850293</v>
      </c>
      <c r="K186" s="52">
        <f t="shared" si="69"/>
        <v>296.31265745547296</v>
      </c>
      <c r="L186" s="52">
        <f t="shared" si="69"/>
        <v>302.23891060458243</v>
      </c>
      <c r="M186" s="52">
        <f t="shared" si="69"/>
        <v>308.2836888166741</v>
      </c>
      <c r="N186" s="52">
        <f t="shared" si="69"/>
        <v>314.44936259300755</v>
      </c>
      <c r="O186" s="52">
        <f t="shared" si="69"/>
        <v>320.73834984486768</v>
      </c>
      <c r="P186" s="52">
        <f t="shared" si="69"/>
        <v>327.15311684176504</v>
      </c>
      <c r="Q186" s="52">
        <f t="shared" si="69"/>
        <v>333.69617917860035</v>
      </c>
    </row>
    <row r="187" spans="1:17">
      <c r="A187" s="26" t="s">
        <v>225</v>
      </c>
      <c r="B187" s="11" t="s">
        <v>95</v>
      </c>
      <c r="C187" s="44">
        <v>8936.9</v>
      </c>
      <c r="D187" s="52">
        <f t="shared" ref="D187:Q187" si="70">SUM(C187*102/100)</f>
        <v>9115.637999999999</v>
      </c>
      <c r="E187" s="52">
        <f t="shared" si="70"/>
        <v>9297.9507599999997</v>
      </c>
      <c r="F187" s="52">
        <f t="shared" si="70"/>
        <v>9483.9097751999998</v>
      </c>
      <c r="G187" s="52">
        <f t="shared" si="70"/>
        <v>9673.5879707040003</v>
      </c>
      <c r="H187" s="52">
        <f t="shared" si="70"/>
        <v>9867.0597301180806</v>
      </c>
      <c r="I187" s="52">
        <f t="shared" si="70"/>
        <v>10064.400924720441</v>
      </c>
      <c r="J187" s="52">
        <f t="shared" si="70"/>
        <v>10265.688943214849</v>
      </c>
      <c r="K187" s="52">
        <f t="shared" si="70"/>
        <v>10471.002722079145</v>
      </c>
      <c r="L187" s="52">
        <f t="shared" si="70"/>
        <v>10680.422776520727</v>
      </c>
      <c r="M187" s="52">
        <f t="shared" si="70"/>
        <v>10894.031232051142</v>
      </c>
      <c r="N187" s="52">
        <f t="shared" si="70"/>
        <v>11111.911856692166</v>
      </c>
      <c r="O187" s="52">
        <f t="shared" si="70"/>
        <v>11334.150093826009</v>
      </c>
      <c r="P187" s="52">
        <f t="shared" si="70"/>
        <v>11560.833095702528</v>
      </c>
      <c r="Q187" s="52">
        <f t="shared" si="70"/>
        <v>11792.049757616578</v>
      </c>
    </row>
    <row r="188" spans="1:17" ht="22.5">
      <c r="A188" s="26" t="s">
        <v>156</v>
      </c>
      <c r="B188" s="11" t="s">
        <v>95</v>
      </c>
      <c r="C188" s="44">
        <v>508.49799999999999</v>
      </c>
      <c r="D188" s="52">
        <f t="shared" ref="D188:Q188" si="71">SUM(C188*102/100)</f>
        <v>518.66795999999999</v>
      </c>
      <c r="E188" s="52">
        <f t="shared" si="71"/>
        <v>529.04131919999998</v>
      </c>
      <c r="F188" s="52">
        <f t="shared" si="71"/>
        <v>539.62214558400001</v>
      </c>
      <c r="G188" s="52">
        <f t="shared" si="71"/>
        <v>550.41458849568005</v>
      </c>
      <c r="H188" s="52">
        <f t="shared" si="71"/>
        <v>561.42288026559368</v>
      </c>
      <c r="I188" s="52">
        <f t="shared" si="71"/>
        <v>572.65133787090554</v>
      </c>
      <c r="J188" s="52">
        <f t="shared" si="71"/>
        <v>584.10436462832365</v>
      </c>
      <c r="K188" s="52">
        <f t="shared" si="71"/>
        <v>595.78645192089016</v>
      </c>
      <c r="L188" s="52">
        <f t="shared" si="71"/>
        <v>607.70218095930795</v>
      </c>
      <c r="M188" s="52">
        <f t="shared" si="71"/>
        <v>619.85622457849411</v>
      </c>
      <c r="N188" s="52">
        <f t="shared" si="71"/>
        <v>632.25334907006402</v>
      </c>
      <c r="O188" s="52">
        <f t="shared" si="71"/>
        <v>644.89841605146535</v>
      </c>
      <c r="P188" s="52">
        <f t="shared" si="71"/>
        <v>657.79638437249469</v>
      </c>
      <c r="Q188" s="52">
        <f t="shared" si="71"/>
        <v>670.95231205994457</v>
      </c>
    </row>
    <row r="189" spans="1:17">
      <c r="A189" s="22" t="s">
        <v>157</v>
      </c>
      <c r="B189" s="12" t="s">
        <v>95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1:17" ht="33.75">
      <c r="A190" s="26" t="s">
        <v>158</v>
      </c>
      <c r="B190" s="11" t="s">
        <v>95</v>
      </c>
      <c r="C190" s="52">
        <f>SUM(C173-C184)</f>
        <v>-6554.1350000000002</v>
      </c>
      <c r="D190" s="52">
        <f>SUM(D173-D184)</f>
        <v>-6685.2176999999992</v>
      </c>
      <c r="E190" s="52">
        <f t="shared" ref="E190:Q190" si="72">SUM(E173-E184)</f>
        <v>-6818.9220539999988</v>
      </c>
      <c r="F190" s="52">
        <f t="shared" si="72"/>
        <v>-6955.3004950799987</v>
      </c>
      <c r="G190" s="52">
        <f t="shared" si="72"/>
        <v>-7094.4065049815981</v>
      </c>
      <c r="H190" s="52">
        <f t="shared" si="72"/>
        <v>-7236.2946350812299</v>
      </c>
      <c r="I190" s="52">
        <f t="shared" si="72"/>
        <v>-7381.0205277828536</v>
      </c>
      <c r="J190" s="52">
        <f t="shared" si="72"/>
        <v>-7528.6409383385108</v>
      </c>
      <c r="K190" s="52">
        <f t="shared" si="72"/>
        <v>-7679.2137571052808</v>
      </c>
      <c r="L190" s="52">
        <f t="shared" si="72"/>
        <v>-7832.7980322473868</v>
      </c>
      <c r="M190" s="52">
        <f t="shared" si="72"/>
        <v>-7989.4539928923368</v>
      </c>
      <c r="N190" s="52">
        <f t="shared" si="72"/>
        <v>-8149.2430727501824</v>
      </c>
      <c r="O190" s="52">
        <f t="shared" si="72"/>
        <v>-8312.2279342051861</v>
      </c>
      <c r="P190" s="52">
        <f t="shared" si="72"/>
        <v>-8478.4724928892902</v>
      </c>
      <c r="Q190" s="52">
        <f t="shared" si="72"/>
        <v>-8648.041942747077</v>
      </c>
    </row>
    <row r="191" spans="1:17">
      <c r="A191" s="21" t="s">
        <v>159</v>
      </c>
      <c r="B191" s="15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1:17">
      <c r="A192" s="22" t="s">
        <v>160</v>
      </c>
      <c r="B192" s="12" t="s">
        <v>161</v>
      </c>
      <c r="C192" s="44">
        <v>21863</v>
      </c>
      <c r="D192" s="44">
        <f>SUM(C192*102.2/100)</f>
        <v>22343.986000000001</v>
      </c>
      <c r="E192" s="45">
        <f t="shared" ref="E192:Q192" si="73">SUM(D192*102.2/100)</f>
        <v>22835.553692000001</v>
      </c>
      <c r="F192" s="45">
        <f t="shared" si="73"/>
        <v>23337.935873224003</v>
      </c>
      <c r="G192" s="45">
        <f t="shared" si="73"/>
        <v>23851.370462434934</v>
      </c>
      <c r="H192" s="45">
        <f t="shared" si="73"/>
        <v>24376.100612608501</v>
      </c>
      <c r="I192" s="45">
        <f t="shared" si="73"/>
        <v>24912.374826085888</v>
      </c>
      <c r="J192" s="45">
        <f t="shared" si="73"/>
        <v>25460.44707225978</v>
      </c>
      <c r="K192" s="45">
        <f t="shared" si="73"/>
        <v>26020.576907849492</v>
      </c>
      <c r="L192" s="45">
        <f t="shared" si="73"/>
        <v>26593.029599822181</v>
      </c>
      <c r="M192" s="45">
        <f t="shared" si="73"/>
        <v>27178.076251018272</v>
      </c>
      <c r="N192" s="44">
        <f t="shared" si="73"/>
        <v>27775.993928540676</v>
      </c>
      <c r="O192" s="45">
        <f t="shared" si="73"/>
        <v>28387.065794968574</v>
      </c>
      <c r="P192" s="45">
        <f t="shared" si="73"/>
        <v>29011.581242457883</v>
      </c>
      <c r="Q192" s="45">
        <f t="shared" si="73"/>
        <v>29649.836029791957</v>
      </c>
    </row>
    <row r="193" spans="1:17" ht="22.5">
      <c r="A193" s="38" t="s">
        <v>162</v>
      </c>
      <c r="B193" s="12" t="s">
        <v>161</v>
      </c>
      <c r="C193" s="44">
        <v>15920</v>
      </c>
      <c r="D193" s="45">
        <f>SUM(C193*102.2/100)</f>
        <v>16270.24</v>
      </c>
      <c r="E193" s="45">
        <f t="shared" ref="E193:Q193" si="74">SUM(D193*102.2/100)</f>
        <v>16628.185279999998</v>
      </c>
      <c r="F193" s="45">
        <f t="shared" si="74"/>
        <v>16994.005356159996</v>
      </c>
      <c r="G193" s="45">
        <f t="shared" si="74"/>
        <v>17367.873473995518</v>
      </c>
      <c r="H193" s="45">
        <f t="shared" si="74"/>
        <v>17749.966690423418</v>
      </c>
      <c r="I193" s="45">
        <f t="shared" si="74"/>
        <v>18140.465957612734</v>
      </c>
      <c r="J193" s="45">
        <f t="shared" si="74"/>
        <v>18539.556208680213</v>
      </c>
      <c r="K193" s="45">
        <f t="shared" si="74"/>
        <v>18947.426445271176</v>
      </c>
      <c r="L193" s="45">
        <f t="shared" si="74"/>
        <v>19364.269827067143</v>
      </c>
      <c r="M193" s="45">
        <f t="shared" si="74"/>
        <v>19790.283763262622</v>
      </c>
      <c r="N193" s="45">
        <f t="shared" si="74"/>
        <v>20225.670006054399</v>
      </c>
      <c r="O193" s="45">
        <f t="shared" si="74"/>
        <v>20670.634746187596</v>
      </c>
      <c r="P193" s="45">
        <f t="shared" si="74"/>
        <v>21125.388710603722</v>
      </c>
      <c r="Q193" s="45">
        <f t="shared" si="74"/>
        <v>21590.147262237002</v>
      </c>
    </row>
    <row r="194" spans="1:17" ht="27">
      <c r="A194" s="9" t="s">
        <v>86</v>
      </c>
      <c r="B194" s="15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1:17" ht="27">
      <c r="A195" s="9" t="s">
        <v>163</v>
      </c>
      <c r="B195" s="11" t="s">
        <v>164</v>
      </c>
      <c r="C195" s="44">
        <v>5005</v>
      </c>
      <c r="D195" s="45">
        <f>SUM(C195*101/100)</f>
        <v>5055.05</v>
      </c>
      <c r="E195" s="45">
        <f t="shared" ref="E195:Q195" si="75">SUM(D195*101/100)</f>
        <v>5105.6005000000005</v>
      </c>
      <c r="F195" s="45">
        <f t="shared" si="75"/>
        <v>5156.6565050000008</v>
      </c>
      <c r="G195" s="45">
        <f t="shared" si="75"/>
        <v>5208.2230700500004</v>
      </c>
      <c r="H195" s="45">
        <f t="shared" si="75"/>
        <v>5260.3053007505005</v>
      </c>
      <c r="I195" s="45">
        <f t="shared" si="75"/>
        <v>5312.9083537580045</v>
      </c>
      <c r="J195" s="45">
        <f t="shared" si="75"/>
        <v>5366.0374372955839</v>
      </c>
      <c r="K195" s="45">
        <f t="shared" si="75"/>
        <v>5419.6978116685395</v>
      </c>
      <c r="L195" s="45">
        <f t="shared" si="75"/>
        <v>5473.8947897852249</v>
      </c>
      <c r="M195" s="45">
        <f t="shared" si="75"/>
        <v>5528.633737683077</v>
      </c>
      <c r="N195" s="45">
        <f t="shared" si="75"/>
        <v>5583.9200750599084</v>
      </c>
      <c r="O195" s="45">
        <f t="shared" si="75"/>
        <v>5639.7592758105075</v>
      </c>
      <c r="P195" s="45">
        <f t="shared" si="75"/>
        <v>5696.1568685686125</v>
      </c>
      <c r="Q195" s="45">
        <f t="shared" si="75"/>
        <v>5753.1184372542984</v>
      </c>
    </row>
    <row r="196" spans="1:17" ht="24">
      <c r="A196" s="9" t="s">
        <v>165</v>
      </c>
      <c r="B196" s="11" t="s">
        <v>164</v>
      </c>
      <c r="C196" s="44">
        <v>0</v>
      </c>
      <c r="D196" s="45">
        <f t="shared" ref="D196:Q211" si="76">SUM(C196*101/100)</f>
        <v>0</v>
      </c>
      <c r="E196" s="45">
        <f t="shared" si="76"/>
        <v>0</v>
      </c>
      <c r="F196" s="45">
        <f t="shared" si="76"/>
        <v>0</v>
      </c>
      <c r="G196" s="45">
        <f t="shared" si="76"/>
        <v>0</v>
      </c>
      <c r="H196" s="45">
        <f t="shared" si="76"/>
        <v>0</v>
      </c>
      <c r="I196" s="45">
        <f t="shared" si="76"/>
        <v>0</v>
      </c>
      <c r="J196" s="45">
        <f t="shared" si="76"/>
        <v>0</v>
      </c>
      <c r="K196" s="45">
        <f t="shared" si="76"/>
        <v>0</v>
      </c>
      <c r="L196" s="45">
        <f t="shared" si="76"/>
        <v>0</v>
      </c>
      <c r="M196" s="45">
        <f t="shared" si="76"/>
        <v>0</v>
      </c>
      <c r="N196" s="45">
        <f t="shared" si="76"/>
        <v>0</v>
      </c>
      <c r="O196" s="45">
        <f t="shared" si="76"/>
        <v>0</v>
      </c>
      <c r="P196" s="45">
        <f t="shared" si="76"/>
        <v>0</v>
      </c>
      <c r="Q196" s="45">
        <f t="shared" si="76"/>
        <v>0</v>
      </c>
    </row>
    <row r="197" spans="1:17" ht="24">
      <c r="A197" s="9" t="s">
        <v>166</v>
      </c>
      <c r="B197" s="11" t="s">
        <v>164</v>
      </c>
      <c r="C197" s="44">
        <v>2628</v>
      </c>
      <c r="D197" s="45">
        <f t="shared" si="76"/>
        <v>2654.28</v>
      </c>
      <c r="E197" s="45">
        <f t="shared" si="76"/>
        <v>2680.8228000000004</v>
      </c>
      <c r="F197" s="45">
        <f t="shared" si="76"/>
        <v>2707.6310280000007</v>
      </c>
      <c r="G197" s="45">
        <f t="shared" si="76"/>
        <v>2734.7073382800008</v>
      </c>
      <c r="H197" s="45">
        <f t="shared" si="76"/>
        <v>2762.0544116628007</v>
      </c>
      <c r="I197" s="45">
        <f t="shared" si="76"/>
        <v>2789.6749557794287</v>
      </c>
      <c r="J197" s="45">
        <f t="shared" si="76"/>
        <v>2817.5717053372232</v>
      </c>
      <c r="K197" s="45">
        <f t="shared" si="76"/>
        <v>2845.7474223905951</v>
      </c>
      <c r="L197" s="45">
        <f t="shared" si="76"/>
        <v>2874.2048966145007</v>
      </c>
      <c r="M197" s="45">
        <f t="shared" si="76"/>
        <v>2902.9469455806457</v>
      </c>
      <c r="N197" s="45">
        <f t="shared" si="76"/>
        <v>2931.9764150364522</v>
      </c>
      <c r="O197" s="45">
        <f t="shared" si="76"/>
        <v>2961.2961791868165</v>
      </c>
      <c r="P197" s="45">
        <f t="shared" si="76"/>
        <v>2990.9091409786847</v>
      </c>
      <c r="Q197" s="45">
        <f t="shared" si="76"/>
        <v>3020.8182323884712</v>
      </c>
    </row>
    <row r="198" spans="1:17" ht="24">
      <c r="A198" s="9" t="s">
        <v>167</v>
      </c>
      <c r="B198" s="11" t="s">
        <v>164</v>
      </c>
      <c r="C198" s="44">
        <v>0</v>
      </c>
      <c r="D198" s="45">
        <f t="shared" si="76"/>
        <v>0</v>
      </c>
      <c r="E198" s="45">
        <f t="shared" si="76"/>
        <v>0</v>
      </c>
      <c r="F198" s="45">
        <f t="shared" si="76"/>
        <v>0</v>
      </c>
      <c r="G198" s="45">
        <f t="shared" si="76"/>
        <v>0</v>
      </c>
      <c r="H198" s="45">
        <f t="shared" si="76"/>
        <v>0</v>
      </c>
      <c r="I198" s="45">
        <f t="shared" si="76"/>
        <v>0</v>
      </c>
      <c r="J198" s="45">
        <f t="shared" si="76"/>
        <v>0</v>
      </c>
      <c r="K198" s="45">
        <f t="shared" si="76"/>
        <v>0</v>
      </c>
      <c r="L198" s="45">
        <f t="shared" si="76"/>
        <v>0</v>
      </c>
      <c r="M198" s="45">
        <f t="shared" si="76"/>
        <v>0</v>
      </c>
      <c r="N198" s="45">
        <f t="shared" si="76"/>
        <v>0</v>
      </c>
      <c r="O198" s="45">
        <f t="shared" si="76"/>
        <v>0</v>
      </c>
      <c r="P198" s="45">
        <f t="shared" si="76"/>
        <v>0</v>
      </c>
      <c r="Q198" s="45">
        <f t="shared" si="76"/>
        <v>0</v>
      </c>
    </row>
    <row r="199" spans="1:17" ht="24">
      <c r="A199" s="9" t="s">
        <v>75</v>
      </c>
      <c r="B199" s="11" t="s">
        <v>164</v>
      </c>
      <c r="C199" s="44">
        <v>2383</v>
      </c>
      <c r="D199" s="45">
        <f t="shared" si="76"/>
        <v>2406.83</v>
      </c>
      <c r="E199" s="45">
        <f t="shared" si="76"/>
        <v>2430.8982999999998</v>
      </c>
      <c r="F199" s="45">
        <f t="shared" si="76"/>
        <v>2455.2072829999997</v>
      </c>
      <c r="G199" s="45">
        <f t="shared" si="76"/>
        <v>2479.75935583</v>
      </c>
      <c r="H199" s="45">
        <f t="shared" si="76"/>
        <v>2504.5569493882999</v>
      </c>
      <c r="I199" s="45">
        <f t="shared" si="76"/>
        <v>2529.6025188821832</v>
      </c>
      <c r="J199" s="45">
        <f t="shared" si="76"/>
        <v>2554.8985440710048</v>
      </c>
      <c r="K199" s="45">
        <f t="shared" si="76"/>
        <v>2580.4475295117149</v>
      </c>
      <c r="L199" s="45">
        <f t="shared" si="76"/>
        <v>2606.2520048068322</v>
      </c>
      <c r="M199" s="45">
        <f t="shared" si="76"/>
        <v>2632.3145248549008</v>
      </c>
      <c r="N199" s="45">
        <f t="shared" si="76"/>
        <v>2658.6376701034501</v>
      </c>
      <c r="O199" s="45">
        <f t="shared" si="76"/>
        <v>2685.2240468044847</v>
      </c>
      <c r="P199" s="45">
        <f t="shared" si="76"/>
        <v>2712.0762872725295</v>
      </c>
      <c r="Q199" s="45">
        <f t="shared" si="76"/>
        <v>2739.1970501452552</v>
      </c>
    </row>
    <row r="200" spans="1:17" ht="27">
      <c r="A200" s="9" t="s">
        <v>76</v>
      </c>
      <c r="B200" s="11" t="s">
        <v>164</v>
      </c>
      <c r="C200" s="44">
        <v>0</v>
      </c>
      <c r="D200" s="45">
        <f t="shared" si="76"/>
        <v>0</v>
      </c>
      <c r="E200" s="45">
        <f t="shared" si="76"/>
        <v>0</v>
      </c>
      <c r="F200" s="45">
        <f t="shared" si="76"/>
        <v>0</v>
      </c>
      <c r="G200" s="45">
        <f t="shared" si="76"/>
        <v>0</v>
      </c>
      <c r="H200" s="45">
        <f t="shared" si="76"/>
        <v>0</v>
      </c>
      <c r="I200" s="45">
        <f t="shared" si="76"/>
        <v>0</v>
      </c>
      <c r="J200" s="45">
        <f t="shared" si="76"/>
        <v>0</v>
      </c>
      <c r="K200" s="45">
        <f t="shared" si="76"/>
        <v>0</v>
      </c>
      <c r="L200" s="45">
        <f t="shared" si="76"/>
        <v>0</v>
      </c>
      <c r="M200" s="45">
        <f t="shared" si="76"/>
        <v>0</v>
      </c>
      <c r="N200" s="45">
        <f t="shared" si="76"/>
        <v>0</v>
      </c>
      <c r="O200" s="45">
        <f t="shared" si="76"/>
        <v>0</v>
      </c>
      <c r="P200" s="45">
        <f t="shared" si="76"/>
        <v>0</v>
      </c>
      <c r="Q200" s="45">
        <f t="shared" si="76"/>
        <v>0</v>
      </c>
    </row>
    <row r="201" spans="1:17" ht="24">
      <c r="A201" s="9" t="s">
        <v>77</v>
      </c>
      <c r="B201" s="11" t="s">
        <v>164</v>
      </c>
      <c r="C201" s="44">
        <v>1125</v>
      </c>
      <c r="D201" s="45">
        <f t="shared" si="76"/>
        <v>1136.25</v>
      </c>
      <c r="E201" s="45">
        <f t="shared" si="76"/>
        <v>1147.6125</v>
      </c>
      <c r="F201" s="45">
        <f t="shared" si="76"/>
        <v>1159.0886249999999</v>
      </c>
      <c r="G201" s="45">
        <f t="shared" si="76"/>
        <v>1170.6795112499999</v>
      </c>
      <c r="H201" s="45">
        <f t="shared" si="76"/>
        <v>1182.3863063624999</v>
      </c>
      <c r="I201" s="45">
        <f t="shared" si="76"/>
        <v>1194.2101694261248</v>
      </c>
      <c r="J201" s="45">
        <f t="shared" si="76"/>
        <v>1206.1522711203861</v>
      </c>
      <c r="K201" s="45">
        <f t="shared" si="76"/>
        <v>1218.21379383159</v>
      </c>
      <c r="L201" s="45">
        <f t="shared" si="76"/>
        <v>1230.3959317699059</v>
      </c>
      <c r="M201" s="45">
        <f t="shared" si="76"/>
        <v>1242.699891087605</v>
      </c>
      <c r="N201" s="45">
        <f t="shared" si="76"/>
        <v>1255.1268899984811</v>
      </c>
      <c r="O201" s="45">
        <f t="shared" si="76"/>
        <v>1267.6781588984659</v>
      </c>
      <c r="P201" s="45">
        <f t="shared" si="76"/>
        <v>1280.3549404874504</v>
      </c>
      <c r="Q201" s="45">
        <f t="shared" si="76"/>
        <v>1293.158489892325</v>
      </c>
    </row>
    <row r="202" spans="1:17" ht="54">
      <c r="A202" s="9" t="s">
        <v>168</v>
      </c>
      <c r="B202" s="11" t="s">
        <v>164</v>
      </c>
      <c r="C202" s="44">
        <v>669</v>
      </c>
      <c r="D202" s="45">
        <f t="shared" si="76"/>
        <v>675.69</v>
      </c>
      <c r="E202" s="45">
        <f t="shared" si="76"/>
        <v>682.44690000000003</v>
      </c>
      <c r="F202" s="45">
        <f t="shared" si="76"/>
        <v>689.27136899999994</v>
      </c>
      <c r="G202" s="45">
        <f t="shared" si="76"/>
        <v>696.16408268999987</v>
      </c>
      <c r="H202" s="45">
        <f t="shared" si="76"/>
        <v>703.12572351689994</v>
      </c>
      <c r="I202" s="45">
        <f t="shared" si="76"/>
        <v>710.15698075206888</v>
      </c>
      <c r="J202" s="45">
        <f t="shared" si="76"/>
        <v>717.25855055958948</v>
      </c>
      <c r="K202" s="45">
        <f t="shared" si="76"/>
        <v>724.43113606518546</v>
      </c>
      <c r="L202" s="45">
        <f t="shared" si="76"/>
        <v>731.67544742583732</v>
      </c>
      <c r="M202" s="45">
        <f t="shared" si="76"/>
        <v>738.99220190009567</v>
      </c>
      <c r="N202" s="45">
        <f t="shared" si="76"/>
        <v>746.38212391909667</v>
      </c>
      <c r="O202" s="45">
        <f t="shared" si="76"/>
        <v>753.84594515828769</v>
      </c>
      <c r="P202" s="45">
        <f t="shared" si="76"/>
        <v>761.38440460987056</v>
      </c>
      <c r="Q202" s="45">
        <f t="shared" si="76"/>
        <v>768.99824865596918</v>
      </c>
    </row>
    <row r="203" spans="1:17" ht="24">
      <c r="A203" s="9" t="s">
        <v>169</v>
      </c>
      <c r="B203" s="11" t="s">
        <v>164</v>
      </c>
      <c r="C203" s="44">
        <v>0</v>
      </c>
      <c r="D203" s="45">
        <f t="shared" si="76"/>
        <v>0</v>
      </c>
      <c r="E203" s="45">
        <f t="shared" si="76"/>
        <v>0</v>
      </c>
      <c r="F203" s="45">
        <f t="shared" si="76"/>
        <v>0</v>
      </c>
      <c r="G203" s="45">
        <f t="shared" si="76"/>
        <v>0</v>
      </c>
      <c r="H203" s="45">
        <f t="shared" si="76"/>
        <v>0</v>
      </c>
      <c r="I203" s="45">
        <f t="shared" si="76"/>
        <v>0</v>
      </c>
      <c r="J203" s="45">
        <f t="shared" si="76"/>
        <v>0</v>
      </c>
      <c r="K203" s="45">
        <f t="shared" si="76"/>
        <v>0</v>
      </c>
      <c r="L203" s="45">
        <f t="shared" si="76"/>
        <v>0</v>
      </c>
      <c r="M203" s="45">
        <f t="shared" si="76"/>
        <v>0</v>
      </c>
      <c r="N203" s="45">
        <f t="shared" si="76"/>
        <v>0</v>
      </c>
      <c r="O203" s="45">
        <f t="shared" si="76"/>
        <v>0</v>
      </c>
      <c r="P203" s="45">
        <f t="shared" si="76"/>
        <v>0</v>
      </c>
      <c r="Q203" s="45">
        <f t="shared" si="76"/>
        <v>0</v>
      </c>
    </row>
    <row r="204" spans="1:17" ht="24">
      <c r="A204" s="10" t="s">
        <v>79</v>
      </c>
      <c r="B204" s="11" t="s">
        <v>164</v>
      </c>
      <c r="C204" s="44">
        <v>744</v>
      </c>
      <c r="D204" s="45">
        <f t="shared" si="76"/>
        <v>751.44</v>
      </c>
      <c r="E204" s="45">
        <f t="shared" si="76"/>
        <v>758.95440000000008</v>
      </c>
      <c r="F204" s="45">
        <f t="shared" si="76"/>
        <v>766.54394400000001</v>
      </c>
      <c r="G204" s="45">
        <f t="shared" si="76"/>
        <v>774.2093834399999</v>
      </c>
      <c r="H204" s="45">
        <f t="shared" si="76"/>
        <v>781.95147727439996</v>
      </c>
      <c r="I204" s="45">
        <f t="shared" si="76"/>
        <v>789.77099204714398</v>
      </c>
      <c r="J204" s="45">
        <f t="shared" si="76"/>
        <v>797.66870196761545</v>
      </c>
      <c r="K204" s="45">
        <f t="shared" si="76"/>
        <v>805.64538898729165</v>
      </c>
      <c r="L204" s="45">
        <f t="shared" si="76"/>
        <v>813.70184287716461</v>
      </c>
      <c r="M204" s="45">
        <f t="shared" si="76"/>
        <v>821.83886130593635</v>
      </c>
      <c r="N204" s="45">
        <f t="shared" si="76"/>
        <v>830.05724991899569</v>
      </c>
      <c r="O204" s="45">
        <f t="shared" si="76"/>
        <v>838.35782241818572</v>
      </c>
      <c r="P204" s="45">
        <f t="shared" si="76"/>
        <v>846.74140064236747</v>
      </c>
      <c r="Q204" s="45">
        <f t="shared" si="76"/>
        <v>855.20881464879119</v>
      </c>
    </row>
    <row r="205" spans="1:17" ht="24">
      <c r="A205" s="10" t="s">
        <v>170</v>
      </c>
      <c r="B205" s="11" t="s">
        <v>164</v>
      </c>
      <c r="C205" s="44">
        <v>85</v>
      </c>
      <c r="D205" s="45">
        <f t="shared" si="76"/>
        <v>85.85</v>
      </c>
      <c r="E205" s="45">
        <f t="shared" si="76"/>
        <v>86.708499999999987</v>
      </c>
      <c r="F205" s="45">
        <f t="shared" si="76"/>
        <v>87.57558499999999</v>
      </c>
      <c r="G205" s="45">
        <f t="shared" si="76"/>
        <v>88.451340849999994</v>
      </c>
      <c r="H205" s="45">
        <f t="shared" si="76"/>
        <v>89.335854258499978</v>
      </c>
      <c r="I205" s="45">
        <f t="shared" si="76"/>
        <v>90.229212801084984</v>
      </c>
      <c r="J205" s="45">
        <f t="shared" si="76"/>
        <v>91.131504929095826</v>
      </c>
      <c r="K205" s="45">
        <f t="shared" si="76"/>
        <v>92.042819978386774</v>
      </c>
      <c r="L205" s="45">
        <f t="shared" si="76"/>
        <v>92.96324817817063</v>
      </c>
      <c r="M205" s="45">
        <f t="shared" si="76"/>
        <v>93.89288065995234</v>
      </c>
      <c r="N205" s="45">
        <f t="shared" si="76"/>
        <v>94.83180946655186</v>
      </c>
      <c r="O205" s="45">
        <f t="shared" si="76"/>
        <v>95.780127561217384</v>
      </c>
      <c r="P205" s="45">
        <f t="shared" si="76"/>
        <v>96.737928836829553</v>
      </c>
      <c r="Q205" s="45">
        <f t="shared" si="76"/>
        <v>97.705308125197845</v>
      </c>
    </row>
    <row r="206" spans="1:17" ht="36">
      <c r="A206" s="10" t="s">
        <v>171</v>
      </c>
      <c r="B206" s="11" t="s">
        <v>164</v>
      </c>
      <c r="C206" s="44">
        <v>98</v>
      </c>
      <c r="D206" s="45">
        <f t="shared" si="76"/>
        <v>98.98</v>
      </c>
      <c r="E206" s="45">
        <f t="shared" si="76"/>
        <v>99.969799999999992</v>
      </c>
      <c r="F206" s="45">
        <f t="shared" si="76"/>
        <v>100.96949799999999</v>
      </c>
      <c r="G206" s="45">
        <f t="shared" si="76"/>
        <v>101.97919297999999</v>
      </c>
      <c r="H206" s="45">
        <f t="shared" si="76"/>
        <v>102.9989849098</v>
      </c>
      <c r="I206" s="45">
        <f t="shared" si="76"/>
        <v>104.028974758898</v>
      </c>
      <c r="J206" s="45">
        <f t="shared" si="76"/>
        <v>105.06926450648697</v>
      </c>
      <c r="K206" s="45">
        <f t="shared" si="76"/>
        <v>106.11995715155184</v>
      </c>
      <c r="L206" s="45">
        <f t="shared" si="76"/>
        <v>107.18115672306736</v>
      </c>
      <c r="M206" s="45">
        <f t="shared" si="76"/>
        <v>108.25296829029803</v>
      </c>
      <c r="N206" s="45">
        <f t="shared" si="76"/>
        <v>109.335497973201</v>
      </c>
      <c r="O206" s="45">
        <f t="shared" si="76"/>
        <v>110.42885295293301</v>
      </c>
      <c r="P206" s="45">
        <f t="shared" si="76"/>
        <v>111.53314148246234</v>
      </c>
      <c r="Q206" s="45">
        <f t="shared" si="76"/>
        <v>112.64847289728695</v>
      </c>
    </row>
    <row r="207" spans="1:17" ht="54">
      <c r="A207" s="9" t="s">
        <v>172</v>
      </c>
      <c r="B207" s="11" t="s">
        <v>161</v>
      </c>
      <c r="C207" s="44">
        <v>878</v>
      </c>
      <c r="D207" s="45">
        <f t="shared" si="76"/>
        <v>886.78</v>
      </c>
      <c r="E207" s="45">
        <f t="shared" si="76"/>
        <v>895.64779999999996</v>
      </c>
      <c r="F207" s="45">
        <f t="shared" si="76"/>
        <v>904.60427799999991</v>
      </c>
      <c r="G207" s="45">
        <f t="shared" si="76"/>
        <v>913.6503207799999</v>
      </c>
      <c r="H207" s="45">
        <f t="shared" si="76"/>
        <v>922.78682398779983</v>
      </c>
      <c r="I207" s="45">
        <f t="shared" si="76"/>
        <v>932.01469222767787</v>
      </c>
      <c r="J207" s="45">
        <f t="shared" si="76"/>
        <v>941.33483914995463</v>
      </c>
      <c r="K207" s="45">
        <f t="shared" si="76"/>
        <v>950.74818754145429</v>
      </c>
      <c r="L207" s="45">
        <f t="shared" si="76"/>
        <v>960.25566941686873</v>
      </c>
      <c r="M207" s="45">
        <f t="shared" si="76"/>
        <v>969.85822611103731</v>
      </c>
      <c r="N207" s="45">
        <f t="shared" si="76"/>
        <v>979.55680837214766</v>
      </c>
      <c r="O207" s="45">
        <f t="shared" si="76"/>
        <v>989.35237645586903</v>
      </c>
      <c r="P207" s="45">
        <f t="shared" si="76"/>
        <v>999.24590022042776</v>
      </c>
      <c r="Q207" s="45">
        <f t="shared" si="76"/>
        <v>1009.238359222632</v>
      </c>
    </row>
    <row r="208" spans="1:17" ht="24">
      <c r="A208" s="9" t="s">
        <v>173</v>
      </c>
      <c r="B208" s="11" t="s">
        <v>164</v>
      </c>
      <c r="C208" s="44">
        <v>1571</v>
      </c>
      <c r="D208" s="45">
        <f t="shared" si="76"/>
        <v>1586.71</v>
      </c>
      <c r="E208" s="45">
        <f t="shared" si="76"/>
        <v>1602.5771</v>
      </c>
      <c r="F208" s="45">
        <f t="shared" si="76"/>
        <v>1618.6028709999998</v>
      </c>
      <c r="G208" s="45">
        <f t="shared" si="76"/>
        <v>1634.7888997099997</v>
      </c>
      <c r="H208" s="45">
        <f t="shared" si="76"/>
        <v>1651.1367887070996</v>
      </c>
      <c r="I208" s="45">
        <f t="shared" si="76"/>
        <v>1667.6481565941708</v>
      </c>
      <c r="J208" s="45">
        <f t="shared" si="76"/>
        <v>1684.3246381601127</v>
      </c>
      <c r="K208" s="45">
        <f t="shared" si="76"/>
        <v>1701.1678845417139</v>
      </c>
      <c r="L208" s="45">
        <f t="shared" si="76"/>
        <v>1718.1795633871309</v>
      </c>
      <c r="M208" s="45">
        <f t="shared" si="76"/>
        <v>1735.361359021002</v>
      </c>
      <c r="N208" s="45">
        <f t="shared" si="76"/>
        <v>1752.714972611212</v>
      </c>
      <c r="O208" s="45">
        <f t="shared" si="76"/>
        <v>1770.2421223373242</v>
      </c>
      <c r="P208" s="45">
        <f t="shared" si="76"/>
        <v>1787.9445435606974</v>
      </c>
      <c r="Q208" s="45">
        <f t="shared" si="76"/>
        <v>1805.8239889963045</v>
      </c>
    </row>
    <row r="209" spans="1:17" ht="27">
      <c r="A209" s="9" t="s">
        <v>174</v>
      </c>
      <c r="B209" s="12" t="s">
        <v>161</v>
      </c>
      <c r="C209" s="44">
        <v>1661</v>
      </c>
      <c r="D209" s="45">
        <f t="shared" si="76"/>
        <v>1677.61</v>
      </c>
      <c r="E209" s="45">
        <f t="shared" si="76"/>
        <v>1694.3860999999999</v>
      </c>
      <c r="F209" s="45">
        <f t="shared" si="76"/>
        <v>1711.3299609999999</v>
      </c>
      <c r="G209" s="45">
        <f t="shared" si="76"/>
        <v>1728.4432606099999</v>
      </c>
      <c r="H209" s="45">
        <f t="shared" si="76"/>
        <v>1745.7276932160999</v>
      </c>
      <c r="I209" s="45">
        <f t="shared" si="76"/>
        <v>1763.1849701482608</v>
      </c>
      <c r="J209" s="45">
        <f t="shared" si="76"/>
        <v>1780.8168198497433</v>
      </c>
      <c r="K209" s="45">
        <f t="shared" si="76"/>
        <v>1798.6249880482408</v>
      </c>
      <c r="L209" s="45">
        <f t="shared" si="76"/>
        <v>1816.6112379287233</v>
      </c>
      <c r="M209" s="45">
        <f t="shared" si="76"/>
        <v>1834.7773503080107</v>
      </c>
      <c r="N209" s="45">
        <f t="shared" si="76"/>
        <v>1853.1251238110908</v>
      </c>
      <c r="O209" s="45">
        <f t="shared" si="76"/>
        <v>1871.6563750492016</v>
      </c>
      <c r="P209" s="45">
        <f t="shared" si="76"/>
        <v>1890.3729387996937</v>
      </c>
      <c r="Q209" s="45">
        <f t="shared" si="76"/>
        <v>1909.2766681876906</v>
      </c>
    </row>
    <row r="210" spans="1:17" ht="27">
      <c r="A210" s="9" t="s">
        <v>175</v>
      </c>
      <c r="B210" s="19" t="s">
        <v>161</v>
      </c>
      <c r="C210" s="44">
        <v>675</v>
      </c>
      <c r="D210" s="45">
        <f t="shared" si="76"/>
        <v>681.75</v>
      </c>
      <c r="E210" s="45">
        <f t="shared" si="76"/>
        <v>688.5675</v>
      </c>
      <c r="F210" s="45">
        <f t="shared" si="76"/>
        <v>695.4531750000001</v>
      </c>
      <c r="G210" s="45">
        <f t="shared" si="76"/>
        <v>702.4077067500001</v>
      </c>
      <c r="H210" s="45">
        <f t="shared" si="76"/>
        <v>709.4317838175001</v>
      </c>
      <c r="I210" s="45">
        <f t="shared" si="76"/>
        <v>716.52610165567512</v>
      </c>
      <c r="J210" s="45">
        <f t="shared" si="76"/>
        <v>723.69136267223189</v>
      </c>
      <c r="K210" s="45">
        <f t="shared" si="76"/>
        <v>730.92827629895419</v>
      </c>
      <c r="L210" s="45">
        <f t="shared" si="76"/>
        <v>738.23755906194378</v>
      </c>
      <c r="M210" s="45">
        <f t="shared" si="76"/>
        <v>745.61993465256319</v>
      </c>
      <c r="N210" s="45">
        <f t="shared" si="76"/>
        <v>753.07613399908882</v>
      </c>
      <c r="O210" s="45">
        <f t="shared" si="76"/>
        <v>760.60689533907976</v>
      </c>
      <c r="P210" s="45">
        <f t="shared" si="76"/>
        <v>768.21296429247059</v>
      </c>
      <c r="Q210" s="45">
        <f t="shared" si="76"/>
        <v>775.89509393539527</v>
      </c>
    </row>
    <row r="211" spans="1:17" ht="23.25" thickBot="1">
      <c r="A211" s="22" t="s">
        <v>176</v>
      </c>
      <c r="B211" s="12" t="s">
        <v>95</v>
      </c>
      <c r="C211" s="44">
        <v>7412</v>
      </c>
      <c r="D211" s="45">
        <f t="shared" si="76"/>
        <v>7486.12</v>
      </c>
      <c r="E211" s="45">
        <f t="shared" si="76"/>
        <v>7560.9812000000002</v>
      </c>
      <c r="F211" s="45">
        <f t="shared" si="76"/>
        <v>7636.5910120000008</v>
      </c>
      <c r="G211" s="45">
        <f t="shared" si="76"/>
        <v>7712.9569221199999</v>
      </c>
      <c r="H211" s="45">
        <f t="shared" si="76"/>
        <v>7790.0864913411997</v>
      </c>
      <c r="I211" s="45">
        <f t="shared" si="76"/>
        <v>7867.9873562546118</v>
      </c>
      <c r="J211" s="45">
        <f t="shared" si="76"/>
        <v>7946.6672298171579</v>
      </c>
      <c r="K211" s="45">
        <f t="shared" si="76"/>
        <v>8026.133902115329</v>
      </c>
      <c r="L211" s="45">
        <f t="shared" si="76"/>
        <v>8106.3952411364826</v>
      </c>
      <c r="M211" s="45">
        <f t="shared" si="76"/>
        <v>8187.4591935478475</v>
      </c>
      <c r="N211" s="45">
        <f t="shared" si="76"/>
        <v>8269.3337854833262</v>
      </c>
      <c r="O211" s="45">
        <f t="shared" si="76"/>
        <v>8352.0271233381591</v>
      </c>
      <c r="P211" s="45">
        <f t="shared" si="76"/>
        <v>8435.5473945715403</v>
      </c>
      <c r="Q211" s="45">
        <f t="shared" si="76"/>
        <v>8519.9028685172561</v>
      </c>
    </row>
    <row r="212" spans="1:17" ht="23.25" thickBot="1">
      <c r="A212" s="39" t="s">
        <v>177</v>
      </c>
      <c r="B212" s="20" t="s">
        <v>95</v>
      </c>
      <c r="C212" s="44">
        <v>1270.9739999999999</v>
      </c>
      <c r="D212" s="44">
        <v>1595.787</v>
      </c>
      <c r="E212" s="44">
        <v>1596.787</v>
      </c>
      <c r="F212" s="44">
        <v>1597.787</v>
      </c>
      <c r="G212" s="44">
        <v>1598.787</v>
      </c>
      <c r="H212" s="44">
        <v>1599.787</v>
      </c>
      <c r="I212" s="44">
        <v>1600.787</v>
      </c>
      <c r="J212" s="44">
        <v>1601.787</v>
      </c>
      <c r="K212" s="44">
        <v>1602.787</v>
      </c>
      <c r="L212" s="44">
        <v>1603.787</v>
      </c>
      <c r="M212" s="44">
        <v>1604.787</v>
      </c>
      <c r="N212" s="44">
        <v>1605.787</v>
      </c>
      <c r="O212" s="44">
        <v>1606.787</v>
      </c>
      <c r="P212" s="44">
        <v>1607.787</v>
      </c>
      <c r="Q212" s="44">
        <v>1608.787</v>
      </c>
    </row>
    <row r="213" spans="1:17" ht="22.5">
      <c r="A213" s="22" t="s">
        <v>178</v>
      </c>
      <c r="B213" s="12" t="s">
        <v>95</v>
      </c>
      <c r="C213" s="44">
        <v>1204.8130000000001</v>
      </c>
      <c r="D213" s="44">
        <v>1595.787</v>
      </c>
      <c r="E213" s="44">
        <v>1595.787</v>
      </c>
      <c r="F213" s="44">
        <v>1595.787</v>
      </c>
      <c r="G213" s="44">
        <v>1595.787</v>
      </c>
      <c r="H213" s="44">
        <v>1595.787</v>
      </c>
      <c r="I213" s="44">
        <v>1595.787</v>
      </c>
      <c r="J213" s="44">
        <v>1595.787</v>
      </c>
      <c r="K213" s="44">
        <v>1595.787</v>
      </c>
      <c r="L213" s="44">
        <v>1595.787</v>
      </c>
      <c r="M213" s="44">
        <v>1595.787</v>
      </c>
      <c r="N213" s="44">
        <v>1595.787</v>
      </c>
      <c r="O213" s="44">
        <v>1595.787</v>
      </c>
      <c r="P213" s="44">
        <v>1595.787</v>
      </c>
      <c r="Q213" s="44">
        <v>1595.787</v>
      </c>
    </row>
    <row r="214" spans="1:17" ht="67.5">
      <c r="A214" s="26" t="s">
        <v>179</v>
      </c>
      <c r="B214" s="11" t="s">
        <v>28</v>
      </c>
      <c r="C214" s="44">
        <v>0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</row>
    <row r="215" spans="1:17" ht="22.5">
      <c r="A215" s="21" t="s">
        <v>180</v>
      </c>
      <c r="B215" s="1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1:17" s="55" customFormat="1" ht="38.450000000000003" customHeight="1">
      <c r="A216" s="25" t="s">
        <v>181</v>
      </c>
      <c r="B216" s="19" t="s">
        <v>161</v>
      </c>
      <c r="C216" s="54">
        <v>2035</v>
      </c>
      <c r="D216" s="66">
        <f>SUM(C216*101/100)</f>
        <v>2055.35</v>
      </c>
      <c r="E216" s="66">
        <f t="shared" ref="E216:Q216" si="77">SUM(D216*101/100)</f>
        <v>2075.9034999999999</v>
      </c>
      <c r="F216" s="66">
        <f t="shared" si="77"/>
        <v>2096.6625349999999</v>
      </c>
      <c r="G216" s="66">
        <f t="shared" si="77"/>
        <v>2117.6291603499999</v>
      </c>
      <c r="H216" s="66">
        <f t="shared" si="77"/>
        <v>2138.8054519534999</v>
      </c>
      <c r="I216" s="66">
        <f t="shared" si="77"/>
        <v>2160.1935064730346</v>
      </c>
      <c r="J216" s="66">
        <f t="shared" si="77"/>
        <v>2181.7954415377649</v>
      </c>
      <c r="K216" s="66">
        <f t="shared" si="77"/>
        <v>2203.6133959531426</v>
      </c>
      <c r="L216" s="66">
        <f t="shared" si="77"/>
        <v>2225.6495299126741</v>
      </c>
      <c r="M216" s="66">
        <f t="shared" si="77"/>
        <v>2247.9060252118011</v>
      </c>
      <c r="N216" s="66">
        <f t="shared" si="77"/>
        <v>2270.385085463919</v>
      </c>
      <c r="O216" s="66">
        <f t="shared" si="77"/>
        <v>2293.0889363185579</v>
      </c>
      <c r="P216" s="66">
        <f t="shared" si="77"/>
        <v>2316.0198256817434</v>
      </c>
      <c r="Q216" s="66">
        <f t="shared" si="77"/>
        <v>2339.1800239385611</v>
      </c>
    </row>
    <row r="217" spans="1:17" ht="38.450000000000003" customHeight="1">
      <c r="A217" s="26" t="s">
        <v>182</v>
      </c>
      <c r="B217" s="15"/>
      <c r="C217" s="44"/>
      <c r="D217" s="66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1:17" ht="44.45" customHeight="1">
      <c r="A218" s="26" t="s">
        <v>183</v>
      </c>
      <c r="B218" s="11" t="s">
        <v>161</v>
      </c>
      <c r="C218" s="44">
        <v>5807</v>
      </c>
      <c r="D218" s="66">
        <f t="shared" ref="D218:Q218" si="78">SUM(C218*101/100)</f>
        <v>5865.07</v>
      </c>
      <c r="E218" s="66">
        <f t="shared" si="78"/>
        <v>5923.7206999999999</v>
      </c>
      <c r="F218" s="66">
        <f t="shared" si="78"/>
        <v>5982.957907</v>
      </c>
      <c r="G218" s="66">
        <f t="shared" si="78"/>
        <v>6042.7874860699994</v>
      </c>
      <c r="H218" s="66">
        <f t="shared" si="78"/>
        <v>6103.2153609306997</v>
      </c>
      <c r="I218" s="66">
        <f t="shared" si="78"/>
        <v>6164.2475145400067</v>
      </c>
      <c r="J218" s="66">
        <f t="shared" si="78"/>
        <v>6225.8899896854073</v>
      </c>
      <c r="K218" s="66">
        <f t="shared" si="78"/>
        <v>6288.1488895822622</v>
      </c>
      <c r="L218" s="66">
        <f t="shared" si="78"/>
        <v>6351.0303784780845</v>
      </c>
      <c r="M218" s="66">
        <f t="shared" si="78"/>
        <v>6414.5406822628656</v>
      </c>
      <c r="N218" s="66">
        <f t="shared" si="78"/>
        <v>6478.6860890854941</v>
      </c>
      <c r="O218" s="66">
        <f t="shared" si="78"/>
        <v>6543.4729499763498</v>
      </c>
      <c r="P218" s="66">
        <f t="shared" si="78"/>
        <v>6608.9076794761131</v>
      </c>
      <c r="Q218" s="66">
        <f t="shared" si="78"/>
        <v>6674.9967562708744</v>
      </c>
    </row>
    <row r="219" spans="1:17" ht="27" customHeight="1">
      <c r="A219" s="22" t="s">
        <v>184</v>
      </c>
      <c r="B219" s="12" t="s">
        <v>161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1:17">
      <c r="A220" s="22" t="s">
        <v>185</v>
      </c>
      <c r="B220" s="12" t="s">
        <v>161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1:17" ht="95.45" customHeight="1">
      <c r="A221" s="22" t="s">
        <v>186</v>
      </c>
      <c r="B221" s="12" t="s">
        <v>28</v>
      </c>
      <c r="C221" s="44">
        <v>80.83</v>
      </c>
      <c r="D221" s="52">
        <f>SUM(C221*100.1/100)</f>
        <v>80.91082999999999</v>
      </c>
      <c r="E221" s="52">
        <f t="shared" ref="E221:Q221" si="79">SUM(D221*100.1/100)</f>
        <v>80.991740829999983</v>
      </c>
      <c r="F221" s="52">
        <f t="shared" si="79"/>
        <v>81.07273257082997</v>
      </c>
      <c r="G221" s="52">
        <f t="shared" si="79"/>
        <v>81.153805303400802</v>
      </c>
      <c r="H221" s="52">
        <f t="shared" si="79"/>
        <v>81.234959108704203</v>
      </c>
      <c r="I221" s="52">
        <f t="shared" si="79"/>
        <v>81.316194067812901</v>
      </c>
      <c r="J221" s="52">
        <f t="shared" si="79"/>
        <v>81.397510261880711</v>
      </c>
      <c r="K221" s="52">
        <f t="shared" si="79"/>
        <v>81.478907772142577</v>
      </c>
      <c r="L221" s="52">
        <f t="shared" si="79"/>
        <v>81.560386679914714</v>
      </c>
      <c r="M221" s="52">
        <f t="shared" si="79"/>
        <v>81.641947066594625</v>
      </c>
      <c r="N221" s="52">
        <f t="shared" si="79"/>
        <v>81.723589013661211</v>
      </c>
      <c r="O221" s="52">
        <f t="shared" si="79"/>
        <v>81.80531260267486</v>
      </c>
      <c r="P221" s="52">
        <f t="shared" si="79"/>
        <v>81.887117915277528</v>
      </c>
      <c r="Q221" s="52">
        <f t="shared" si="79"/>
        <v>81.969005033192801</v>
      </c>
    </row>
    <row r="222" spans="1:17">
      <c r="A222" s="21" t="s">
        <v>187</v>
      </c>
      <c r="B222" s="15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1:17" ht="46.5">
      <c r="A223" s="22" t="s">
        <v>188</v>
      </c>
      <c r="B223" s="12" t="s">
        <v>189</v>
      </c>
      <c r="C223" s="52">
        <f>SUM(635*10000/C11)</f>
        <v>140.48672566371681</v>
      </c>
      <c r="D223" s="52">
        <f t="shared" ref="D223:Q223" si="80">SUM(635*10000/D11)</f>
        <v>127.71520514883346</v>
      </c>
      <c r="E223" s="52">
        <f t="shared" si="80"/>
        <v>125.21098544003281</v>
      </c>
      <c r="F223" s="52">
        <f t="shared" si="80"/>
        <v>122.3958801955355</v>
      </c>
      <c r="G223" s="52">
        <f t="shared" si="80"/>
        <v>119.41061482491268</v>
      </c>
      <c r="H223" s="44">
        <f t="shared" si="80"/>
        <v>116.15818562734697</v>
      </c>
      <c r="I223" s="52">
        <f t="shared" si="80"/>
        <v>113.99233133203823</v>
      </c>
      <c r="J223" s="52">
        <f t="shared" si="80"/>
        <v>111.75718758042964</v>
      </c>
      <c r="K223" s="52">
        <f t="shared" si="80"/>
        <v>108.6075681053738</v>
      </c>
      <c r="L223" s="49">
        <f t="shared" si="80"/>
        <v>106.47800794644489</v>
      </c>
      <c r="M223" s="52">
        <f t="shared" si="80"/>
        <v>103.88098336238525</v>
      </c>
      <c r="N223" s="52">
        <f t="shared" si="80"/>
        <v>101.84410133567182</v>
      </c>
      <c r="O223" s="44">
        <f t="shared" si="80"/>
        <v>92.585546668792574</v>
      </c>
      <c r="P223" s="52">
        <f t="shared" si="80"/>
        <v>89.024564104608245</v>
      </c>
      <c r="Q223" s="52">
        <f t="shared" si="80"/>
        <v>87.450455898436402</v>
      </c>
    </row>
    <row r="224" spans="1:17" ht="80.25">
      <c r="A224" s="22" t="s">
        <v>190</v>
      </c>
      <c r="B224" s="12" t="s">
        <v>191</v>
      </c>
      <c r="C224" s="52">
        <f>SUM(1035*10000/C11)</f>
        <v>228.98230088495575</v>
      </c>
      <c r="D224" s="52">
        <f t="shared" ref="D224:Q224" si="81">SUM(1035*10000/D11)</f>
        <v>208.1657280772325</v>
      </c>
      <c r="E224" s="52">
        <f t="shared" si="81"/>
        <v>204.08404713454166</v>
      </c>
      <c r="F224" s="52">
        <f t="shared" si="81"/>
        <v>199.4956472478413</v>
      </c>
      <c r="G224" s="44">
        <f t="shared" si="81"/>
        <v>194.62989975399154</v>
      </c>
      <c r="H224" s="52">
        <f t="shared" si="81"/>
        <v>189.32869625874665</v>
      </c>
      <c r="I224" s="52">
        <f t="shared" si="81"/>
        <v>185.79852429710169</v>
      </c>
      <c r="J224" s="52">
        <f t="shared" si="81"/>
        <v>182.15541597755069</v>
      </c>
      <c r="K224" s="52">
        <f t="shared" si="81"/>
        <v>177.02178423474311</v>
      </c>
      <c r="L224" s="52">
        <f t="shared" si="81"/>
        <v>173.55076885759129</v>
      </c>
      <c r="M224" s="52">
        <f t="shared" si="81"/>
        <v>169.3178232756988</v>
      </c>
      <c r="N224" s="52">
        <f t="shared" si="81"/>
        <v>165.99786595656747</v>
      </c>
      <c r="O224" s="52">
        <f t="shared" si="81"/>
        <v>150.9071508696068</v>
      </c>
      <c r="P224" s="52">
        <f t="shared" si="81"/>
        <v>145.10302968231423</v>
      </c>
      <c r="Q224" s="52">
        <f t="shared" si="81"/>
        <v>142.53735725178217</v>
      </c>
    </row>
    <row r="225" spans="1:17" ht="46.5">
      <c r="A225" s="22" t="s">
        <v>192</v>
      </c>
      <c r="B225" s="12" t="s">
        <v>193</v>
      </c>
      <c r="C225" s="52">
        <f>SUM(454*10000/C11)</f>
        <v>100.4424778761062</v>
      </c>
      <c r="D225" s="62">
        <f t="shared" ref="D225:Q225" si="82">SUM(208*10000/D11)</f>
        <v>41.834271922767499</v>
      </c>
      <c r="E225" s="52">
        <f t="shared" si="82"/>
        <v>41.013992081144607</v>
      </c>
      <c r="F225" s="52">
        <f t="shared" si="82"/>
        <v>40.091878867199028</v>
      </c>
      <c r="G225" s="52">
        <f t="shared" si="82"/>
        <v>39.114028163121006</v>
      </c>
      <c r="H225" s="52">
        <f t="shared" si="82"/>
        <v>38.048665528327824</v>
      </c>
      <c r="I225" s="52">
        <f t="shared" si="82"/>
        <v>37.339220341832998</v>
      </c>
      <c r="J225" s="52">
        <f t="shared" si="82"/>
        <v>36.607078766502944</v>
      </c>
      <c r="K225" s="52">
        <f t="shared" si="82"/>
        <v>35.575392387272046</v>
      </c>
      <c r="L225" s="52">
        <f t="shared" si="82"/>
        <v>34.87783567379612</v>
      </c>
      <c r="M225" s="52">
        <f t="shared" si="82"/>
        <v>34.027156754923048</v>
      </c>
      <c r="N225" s="52">
        <f t="shared" si="82"/>
        <v>33.359957602865734</v>
      </c>
      <c r="O225" s="52">
        <f t="shared" si="82"/>
        <v>30.327234184423396</v>
      </c>
      <c r="P225" s="52">
        <f t="shared" si="82"/>
        <v>29.160802100407111</v>
      </c>
      <c r="Q225" s="52">
        <f t="shared" si="82"/>
        <v>28.645188703739798</v>
      </c>
    </row>
    <row r="226" spans="1:17" ht="46.5">
      <c r="A226" s="22" t="s">
        <v>194</v>
      </c>
      <c r="B226" s="12" t="s">
        <v>193</v>
      </c>
      <c r="C226" s="52">
        <f>SUM(5*10000/C11)</f>
        <v>1.1061946902654867</v>
      </c>
      <c r="D226" s="52">
        <f t="shared" ref="D226:Q226" si="83">SUM(208*10000/D11)</f>
        <v>41.834271922767499</v>
      </c>
      <c r="E226" s="52">
        <f t="shared" si="83"/>
        <v>41.013992081144607</v>
      </c>
      <c r="F226" s="52">
        <f t="shared" si="83"/>
        <v>40.091878867199028</v>
      </c>
      <c r="G226" s="52">
        <f t="shared" si="83"/>
        <v>39.114028163121006</v>
      </c>
      <c r="H226" s="52">
        <f t="shared" si="83"/>
        <v>38.048665528327824</v>
      </c>
      <c r="I226" s="52">
        <f t="shared" si="83"/>
        <v>37.339220341832998</v>
      </c>
      <c r="J226" s="52">
        <f t="shared" si="83"/>
        <v>36.607078766502944</v>
      </c>
      <c r="K226" s="52">
        <f t="shared" si="83"/>
        <v>35.575392387272046</v>
      </c>
      <c r="L226" s="52">
        <f t="shared" si="83"/>
        <v>34.87783567379612</v>
      </c>
      <c r="M226" s="52">
        <f t="shared" si="83"/>
        <v>34.027156754923048</v>
      </c>
      <c r="N226" s="52">
        <f t="shared" si="83"/>
        <v>33.359957602865734</v>
      </c>
      <c r="O226" s="52">
        <f t="shared" si="83"/>
        <v>30.327234184423396</v>
      </c>
      <c r="P226" s="52">
        <f t="shared" si="83"/>
        <v>29.160802100407111</v>
      </c>
      <c r="Q226" s="52">
        <f t="shared" si="83"/>
        <v>28.645188703739798</v>
      </c>
    </row>
    <row r="227" spans="1:17" ht="46.5">
      <c r="A227" s="22" t="s">
        <v>195</v>
      </c>
      <c r="B227" s="12" t="s">
        <v>196</v>
      </c>
      <c r="C227" s="52">
        <f>SUM(208*100000/C11)</f>
        <v>460.17699115044246</v>
      </c>
      <c r="D227" s="52">
        <f t="shared" ref="D227:Q227" si="84">SUM(208*10000/D11)</f>
        <v>41.834271922767499</v>
      </c>
      <c r="E227" s="52">
        <f t="shared" si="84"/>
        <v>41.013992081144607</v>
      </c>
      <c r="F227" s="52">
        <f t="shared" si="84"/>
        <v>40.091878867199028</v>
      </c>
      <c r="G227" s="52">
        <f t="shared" si="84"/>
        <v>39.114028163121006</v>
      </c>
      <c r="H227" s="52">
        <f t="shared" si="84"/>
        <v>38.048665528327824</v>
      </c>
      <c r="I227" s="52">
        <f t="shared" si="84"/>
        <v>37.339220341832998</v>
      </c>
      <c r="J227" s="52">
        <f t="shared" si="84"/>
        <v>36.607078766502944</v>
      </c>
      <c r="K227" s="52">
        <f t="shared" si="84"/>
        <v>35.575392387272046</v>
      </c>
      <c r="L227" s="52">
        <f t="shared" si="84"/>
        <v>34.87783567379612</v>
      </c>
      <c r="M227" s="52">
        <f t="shared" si="84"/>
        <v>34.027156754923048</v>
      </c>
      <c r="N227" s="52">
        <f t="shared" si="84"/>
        <v>33.359957602865734</v>
      </c>
      <c r="O227" s="52">
        <f t="shared" si="84"/>
        <v>30.327234184423396</v>
      </c>
      <c r="P227" s="52">
        <f t="shared" si="84"/>
        <v>29.160802100407111</v>
      </c>
      <c r="Q227" s="52">
        <f t="shared" si="84"/>
        <v>28.645188703739798</v>
      </c>
    </row>
    <row r="228" spans="1:17">
      <c r="A228" s="79" t="s">
        <v>197</v>
      </c>
      <c r="B228" s="82" t="s">
        <v>196</v>
      </c>
      <c r="C228" s="68">
        <f>SUM(1*100000/C11)</f>
        <v>2.2123893805309733</v>
      </c>
      <c r="D228" s="68">
        <f t="shared" ref="D228:Q228" si="85">SUM(1*10000/D11)</f>
        <v>0.20112630732099759</v>
      </c>
      <c r="E228" s="68">
        <f t="shared" si="85"/>
        <v>0.19718265423627213</v>
      </c>
      <c r="F228" s="68">
        <f t="shared" si="85"/>
        <v>0.19274941763076456</v>
      </c>
      <c r="G228" s="68">
        <f t="shared" si="85"/>
        <v>0.18804821232269714</v>
      </c>
      <c r="H228" s="68">
        <f t="shared" si="85"/>
        <v>0.18292627657849916</v>
      </c>
      <c r="I228" s="68">
        <f t="shared" si="85"/>
        <v>0.17951548241265863</v>
      </c>
      <c r="J228" s="68">
        <f t="shared" si="85"/>
        <v>0.17599557099280261</v>
      </c>
      <c r="K228" s="68">
        <f t="shared" si="85"/>
        <v>0.1710355403234233</v>
      </c>
      <c r="L228" s="68">
        <f t="shared" si="85"/>
        <v>0.16768190227786597</v>
      </c>
      <c r="M228" s="68">
        <f t="shared" si="85"/>
        <v>0.16359209978328387</v>
      </c>
      <c r="N228" s="68">
        <f t="shared" si="85"/>
        <v>0.16038441155223909</v>
      </c>
      <c r="O228" s="68">
        <f t="shared" si="85"/>
        <v>0.14580401050203556</v>
      </c>
      <c r="P228" s="68">
        <f t="shared" si="85"/>
        <v>0.14019616394426496</v>
      </c>
      <c r="Q228" s="68">
        <f t="shared" si="85"/>
        <v>0.13771725338336441</v>
      </c>
    </row>
    <row r="229" spans="1:17" ht="46.9" customHeight="1">
      <c r="A229" s="80"/>
      <c r="B229" s="82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</row>
    <row r="230" spans="1:17" ht="57.75">
      <c r="A230" s="22" t="s">
        <v>198</v>
      </c>
      <c r="B230" s="12" t="s">
        <v>199</v>
      </c>
      <c r="C230" s="52">
        <f>SUM(13*1000/6137)</f>
        <v>2.1182988430829397</v>
      </c>
      <c r="D230" s="52">
        <f t="shared" ref="D230:Q230" si="86">SUM(13*1000/6137)</f>
        <v>2.1182988430829397</v>
      </c>
      <c r="E230" s="52">
        <f t="shared" si="86"/>
        <v>2.1182988430829397</v>
      </c>
      <c r="F230" s="52">
        <f t="shared" si="86"/>
        <v>2.1182988430829397</v>
      </c>
      <c r="G230" s="52">
        <f t="shared" si="86"/>
        <v>2.1182988430829397</v>
      </c>
      <c r="H230" s="52">
        <f t="shared" si="86"/>
        <v>2.1182988430829397</v>
      </c>
      <c r="I230" s="52">
        <f t="shared" si="86"/>
        <v>2.1182988430829397</v>
      </c>
      <c r="J230" s="52">
        <f t="shared" si="86"/>
        <v>2.1182988430829397</v>
      </c>
      <c r="K230" s="52">
        <f t="shared" si="86"/>
        <v>2.1182988430829397</v>
      </c>
      <c r="L230" s="52">
        <f t="shared" si="86"/>
        <v>2.1182988430829397</v>
      </c>
      <c r="M230" s="52">
        <f t="shared" si="86"/>
        <v>2.1182988430829397</v>
      </c>
      <c r="N230" s="52">
        <f t="shared" si="86"/>
        <v>2.1182988430829397</v>
      </c>
      <c r="O230" s="52">
        <f t="shared" si="86"/>
        <v>2.1182988430829397</v>
      </c>
      <c r="P230" s="52">
        <f t="shared" si="86"/>
        <v>2.1182988430829397</v>
      </c>
      <c r="Q230" s="52">
        <f t="shared" si="86"/>
        <v>2.1182988430829397</v>
      </c>
    </row>
    <row r="231" spans="1:17" ht="35.25">
      <c r="A231" s="38" t="s">
        <v>200</v>
      </c>
      <c r="B231" s="12" t="s">
        <v>201</v>
      </c>
      <c r="C231" s="44">
        <v>10.177</v>
      </c>
      <c r="D231" s="44">
        <v>9765.4</v>
      </c>
      <c r="E231" s="52">
        <f>SUM(D231*101/100)</f>
        <v>9863.0539999999983</v>
      </c>
      <c r="F231" s="52">
        <f t="shared" ref="F231:Q231" si="87">SUM(E231*101/100)</f>
        <v>9961.6845399999984</v>
      </c>
      <c r="G231" s="52">
        <f t="shared" si="87"/>
        <v>10061.301385399998</v>
      </c>
      <c r="H231" s="52">
        <f t="shared" si="87"/>
        <v>10161.914399253998</v>
      </c>
      <c r="I231" s="52">
        <f t="shared" si="87"/>
        <v>10263.533543246538</v>
      </c>
      <c r="J231" s="52">
        <f t="shared" si="87"/>
        <v>10366.168878679004</v>
      </c>
      <c r="K231" s="52">
        <f t="shared" si="87"/>
        <v>10469.830567465793</v>
      </c>
      <c r="L231" s="52">
        <f t="shared" si="87"/>
        <v>10574.528873140451</v>
      </c>
      <c r="M231" s="52">
        <f t="shared" si="87"/>
        <v>10680.274161871856</v>
      </c>
      <c r="N231" s="52">
        <f t="shared" si="87"/>
        <v>10787.076903490573</v>
      </c>
      <c r="O231" s="52">
        <f t="shared" si="87"/>
        <v>10894.947672525479</v>
      </c>
      <c r="P231" s="52">
        <f t="shared" si="87"/>
        <v>11003.897149250733</v>
      </c>
      <c r="Q231" s="52">
        <f t="shared" si="87"/>
        <v>11113.936120743241</v>
      </c>
    </row>
    <row r="232" spans="1:17">
      <c r="A232" s="26" t="s">
        <v>202</v>
      </c>
      <c r="B232" s="15"/>
      <c r="C232" s="44"/>
      <c r="D232" s="44"/>
      <c r="E232" s="52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1:17" ht="35.25">
      <c r="A233" s="26" t="s">
        <v>203</v>
      </c>
      <c r="B233" s="11" t="s">
        <v>201</v>
      </c>
      <c r="C233" s="44"/>
      <c r="D233" s="44"/>
      <c r="E233" s="52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1:17" ht="35.25">
      <c r="A234" s="26" t="s">
        <v>204</v>
      </c>
      <c r="B234" s="11" t="s">
        <v>201</v>
      </c>
      <c r="C234" s="44"/>
      <c r="D234" s="44"/>
      <c r="E234" s="52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1:17" ht="45">
      <c r="A235" s="26" t="s">
        <v>205</v>
      </c>
      <c r="B235" s="11" t="s">
        <v>201</v>
      </c>
      <c r="C235" s="44">
        <v>10.177</v>
      </c>
      <c r="D235" s="44">
        <v>9765.4</v>
      </c>
      <c r="E235" s="52">
        <f t="shared" ref="E235:Q235" si="88">SUM(D235*101/100)</f>
        <v>9863.0539999999983</v>
      </c>
      <c r="F235" s="52">
        <f t="shared" si="88"/>
        <v>9961.6845399999984</v>
      </c>
      <c r="G235" s="52">
        <f t="shared" si="88"/>
        <v>10061.301385399998</v>
      </c>
      <c r="H235" s="52">
        <f t="shared" si="88"/>
        <v>10161.914399253998</v>
      </c>
      <c r="I235" s="52">
        <f t="shared" si="88"/>
        <v>10263.533543246538</v>
      </c>
      <c r="J235" s="52">
        <f t="shared" si="88"/>
        <v>10366.168878679004</v>
      </c>
      <c r="K235" s="52">
        <f t="shared" si="88"/>
        <v>10469.830567465793</v>
      </c>
      <c r="L235" s="52">
        <f t="shared" si="88"/>
        <v>10574.528873140451</v>
      </c>
      <c r="M235" s="52">
        <f t="shared" si="88"/>
        <v>10680.274161871856</v>
      </c>
      <c r="N235" s="52">
        <f t="shared" si="88"/>
        <v>10787.076903490573</v>
      </c>
      <c r="O235" s="52">
        <f t="shared" si="88"/>
        <v>10894.947672525479</v>
      </c>
      <c r="P235" s="52">
        <f t="shared" si="88"/>
        <v>11003.897149250733</v>
      </c>
      <c r="Q235" s="52">
        <f t="shared" si="88"/>
        <v>11113.936120743241</v>
      </c>
    </row>
    <row r="236" spans="1:17" ht="22.5">
      <c r="A236" s="21" t="s">
        <v>130</v>
      </c>
      <c r="B236" s="15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1:17" s="59" customFormat="1" ht="45">
      <c r="A237" s="56" t="s">
        <v>206</v>
      </c>
      <c r="B237" s="57" t="s">
        <v>207</v>
      </c>
      <c r="C237" s="58">
        <v>19.3</v>
      </c>
      <c r="D237" s="58">
        <v>19.399999999999999</v>
      </c>
      <c r="E237" s="58">
        <v>19.5</v>
      </c>
      <c r="F237" s="58">
        <v>19.600000000000001</v>
      </c>
      <c r="G237" s="58">
        <v>19.7</v>
      </c>
      <c r="H237" s="58">
        <v>19.8</v>
      </c>
      <c r="I237" s="58">
        <v>19.899999999999999</v>
      </c>
      <c r="J237" s="58">
        <v>19.899999999999999</v>
      </c>
      <c r="K237" s="58">
        <v>19.899999999999999</v>
      </c>
      <c r="L237" s="58">
        <v>19.899999999999999</v>
      </c>
      <c r="M237" s="58">
        <v>19.899999999999999</v>
      </c>
      <c r="N237" s="58">
        <v>19.899999999999999</v>
      </c>
      <c r="O237" s="58">
        <v>19.899999999999999</v>
      </c>
      <c r="P237" s="58">
        <v>20</v>
      </c>
      <c r="Q237" s="58">
        <v>20.100000000000001</v>
      </c>
    </row>
    <row r="238" spans="1:17" s="55" customFormat="1" ht="56.25">
      <c r="A238" s="25" t="s">
        <v>208</v>
      </c>
      <c r="B238" s="19" t="s">
        <v>100</v>
      </c>
      <c r="C238" s="54">
        <v>54579.86</v>
      </c>
      <c r="D238" s="54">
        <v>56267.9</v>
      </c>
      <c r="E238" s="63">
        <f>SUM(D238*102/100)</f>
        <v>57393.258000000002</v>
      </c>
      <c r="F238" s="63">
        <f t="shared" ref="F238:Q238" si="89">SUM(E238*102/100)</f>
        <v>58541.123160000003</v>
      </c>
      <c r="G238" s="63">
        <f t="shared" si="89"/>
        <v>59711.945623200008</v>
      </c>
      <c r="H238" s="63">
        <f t="shared" si="89"/>
        <v>60906.184535664011</v>
      </c>
      <c r="I238" s="63">
        <f t="shared" si="89"/>
        <v>62124.308226377296</v>
      </c>
      <c r="J238" s="63">
        <f t="shared" si="89"/>
        <v>63366.794390904841</v>
      </c>
      <c r="K238" s="63">
        <f t="shared" si="89"/>
        <v>64634.130278722943</v>
      </c>
      <c r="L238" s="63">
        <f t="shared" si="89"/>
        <v>65926.812884297397</v>
      </c>
      <c r="M238" s="63">
        <f t="shared" si="89"/>
        <v>67245.349141983344</v>
      </c>
      <c r="N238" s="63">
        <f t="shared" si="89"/>
        <v>68590.256124823005</v>
      </c>
      <c r="O238" s="63">
        <f t="shared" si="89"/>
        <v>69962.061247319463</v>
      </c>
      <c r="P238" s="63">
        <f t="shared" si="89"/>
        <v>71361.302472265859</v>
      </c>
      <c r="Q238" s="63">
        <f t="shared" si="89"/>
        <v>72788.528521711181</v>
      </c>
    </row>
    <row r="239" spans="1:17" ht="33.75">
      <c r="A239" s="22" t="s">
        <v>209</v>
      </c>
      <c r="B239" s="12" t="s">
        <v>28</v>
      </c>
      <c r="C239" s="44">
        <v>55.79</v>
      </c>
      <c r="D239" s="52">
        <f>SUM(C239*103/100)</f>
        <v>57.463699999999996</v>
      </c>
      <c r="E239" s="52">
        <f t="shared" ref="E239:Q239" si="90">SUM(D239*103/100)</f>
        <v>59.187610999999997</v>
      </c>
      <c r="F239" s="52">
        <f t="shared" si="90"/>
        <v>60.963239329999993</v>
      </c>
      <c r="G239" s="52">
        <f t="shared" si="90"/>
        <v>62.79213650989999</v>
      </c>
      <c r="H239" s="52">
        <f t="shared" si="90"/>
        <v>64.675900605197</v>
      </c>
      <c r="I239" s="52">
        <f t="shared" si="90"/>
        <v>66.616177623352911</v>
      </c>
      <c r="J239" s="52">
        <f t="shared" si="90"/>
        <v>68.614662952053493</v>
      </c>
      <c r="K239" s="52">
        <f t="shared" si="90"/>
        <v>70.673102840615101</v>
      </c>
      <c r="L239" s="52">
        <f t="shared" si="90"/>
        <v>72.793295925833547</v>
      </c>
      <c r="M239" s="52">
        <f t="shared" si="90"/>
        <v>74.977094803608551</v>
      </c>
      <c r="N239" s="52">
        <f t="shared" si="90"/>
        <v>77.226407647716812</v>
      </c>
      <c r="O239" s="52">
        <f t="shared" si="90"/>
        <v>79.543199877148311</v>
      </c>
      <c r="P239" s="52">
        <f t="shared" si="90"/>
        <v>81.92949587346277</v>
      </c>
      <c r="Q239" s="52">
        <f t="shared" si="90"/>
        <v>84.387380749666647</v>
      </c>
    </row>
    <row r="240" spans="1:17" ht="33.75">
      <c r="A240" s="22" t="s">
        <v>210</v>
      </c>
      <c r="B240" s="12" t="s">
        <v>211</v>
      </c>
      <c r="C240" s="44">
        <v>10912</v>
      </c>
      <c r="D240" s="44">
        <f>SUM(C240*103/100)</f>
        <v>11239.36</v>
      </c>
      <c r="E240" s="49">
        <f t="shared" ref="E240:Q240" si="91">SUM(D240*103/100)</f>
        <v>11576.540800000001</v>
      </c>
      <c r="F240" s="44">
        <f t="shared" si="91"/>
        <v>11923.837024</v>
      </c>
      <c r="G240" s="44">
        <f t="shared" si="91"/>
        <v>12281.552134720001</v>
      </c>
      <c r="H240" s="44">
        <f t="shared" si="91"/>
        <v>12649.998698761601</v>
      </c>
      <c r="I240" s="44">
        <f t="shared" si="91"/>
        <v>13029.49865972445</v>
      </c>
      <c r="J240" s="44">
        <f t="shared" si="91"/>
        <v>13420.383619516182</v>
      </c>
      <c r="K240" s="44">
        <f t="shared" si="91"/>
        <v>13822.995128101667</v>
      </c>
      <c r="L240" s="49">
        <f t="shared" si="91"/>
        <v>14237.684981944716</v>
      </c>
      <c r="M240" s="44">
        <f t="shared" si="91"/>
        <v>14664.815531403057</v>
      </c>
      <c r="N240" s="44">
        <f t="shared" si="91"/>
        <v>15104.759997345149</v>
      </c>
      <c r="O240" s="44">
        <f t="shared" si="91"/>
        <v>15557.902797265502</v>
      </c>
      <c r="P240" s="44">
        <f t="shared" si="91"/>
        <v>16024.639881183468</v>
      </c>
      <c r="Q240" s="44">
        <f t="shared" si="91"/>
        <v>16505.379077618971</v>
      </c>
    </row>
    <row r="241" spans="1:17" ht="22.5">
      <c r="A241" s="38" t="s">
        <v>212</v>
      </c>
      <c r="B241" s="12" t="s">
        <v>32</v>
      </c>
      <c r="C241" s="44">
        <v>30</v>
      </c>
      <c r="D241" s="44">
        <v>30</v>
      </c>
      <c r="E241" s="44">
        <v>30</v>
      </c>
      <c r="F241" s="44">
        <v>30</v>
      </c>
      <c r="G241" s="44">
        <v>30</v>
      </c>
      <c r="H241" s="44">
        <v>30</v>
      </c>
      <c r="I241" s="44">
        <v>30</v>
      </c>
      <c r="J241" s="44">
        <v>30</v>
      </c>
      <c r="K241" s="44">
        <v>30</v>
      </c>
      <c r="L241" s="44">
        <v>30</v>
      </c>
      <c r="M241" s="44">
        <v>30</v>
      </c>
      <c r="N241" s="44">
        <v>30</v>
      </c>
      <c r="O241" s="44">
        <v>30</v>
      </c>
      <c r="P241" s="44">
        <v>30</v>
      </c>
      <c r="Q241" s="44">
        <v>30</v>
      </c>
    </row>
    <row r="242" spans="1:17" ht="15.75" thickBot="1">
      <c r="A242" s="22" t="s">
        <v>213</v>
      </c>
      <c r="B242" s="12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1:17" ht="15.75" thickBot="1">
      <c r="A243" s="22" t="s">
        <v>214</v>
      </c>
      <c r="B243" s="12" t="s">
        <v>32</v>
      </c>
      <c r="C243" s="60">
        <v>24</v>
      </c>
      <c r="D243" s="60">
        <v>24</v>
      </c>
      <c r="E243" s="60">
        <v>24</v>
      </c>
      <c r="F243" s="60">
        <v>24</v>
      </c>
      <c r="G243" s="60">
        <v>24</v>
      </c>
      <c r="H243" s="60">
        <v>24</v>
      </c>
      <c r="I243" s="60">
        <v>24</v>
      </c>
      <c r="J243" s="60">
        <v>24</v>
      </c>
      <c r="K243" s="60">
        <v>24</v>
      </c>
      <c r="L243" s="60">
        <v>24</v>
      </c>
      <c r="M243" s="60">
        <v>24</v>
      </c>
      <c r="N243" s="60">
        <v>24</v>
      </c>
      <c r="O243" s="60">
        <v>24</v>
      </c>
      <c r="P243" s="60">
        <v>24</v>
      </c>
      <c r="Q243" s="60">
        <v>24</v>
      </c>
    </row>
    <row r="244" spans="1:17" ht="15.75" thickBot="1">
      <c r="A244" s="22" t="s">
        <v>215</v>
      </c>
      <c r="B244" s="12" t="s">
        <v>32</v>
      </c>
      <c r="C244" s="61">
        <v>2</v>
      </c>
      <c r="D244" s="44">
        <v>2</v>
      </c>
      <c r="E244" s="44">
        <v>2</v>
      </c>
      <c r="F244" s="44">
        <v>2</v>
      </c>
      <c r="G244" s="44">
        <v>2</v>
      </c>
      <c r="H244" s="44">
        <v>2</v>
      </c>
      <c r="I244" s="44">
        <v>2</v>
      </c>
      <c r="J244" s="44">
        <v>2</v>
      </c>
      <c r="K244" s="44">
        <v>2</v>
      </c>
      <c r="L244" s="44">
        <v>2</v>
      </c>
      <c r="M244" s="44">
        <v>2</v>
      </c>
      <c r="N244" s="44">
        <v>2</v>
      </c>
      <c r="O244" s="44">
        <v>2</v>
      </c>
      <c r="P244" s="44">
        <v>2</v>
      </c>
      <c r="Q244" s="44">
        <v>2</v>
      </c>
    </row>
    <row r="245" spans="1:17" ht="33.75">
      <c r="A245" s="22" t="s">
        <v>216</v>
      </c>
      <c r="B245" s="12" t="s">
        <v>32</v>
      </c>
      <c r="C245" s="64">
        <v>1</v>
      </c>
      <c r="D245" s="44">
        <v>1</v>
      </c>
      <c r="E245" s="44">
        <v>1</v>
      </c>
      <c r="F245" s="44">
        <v>1</v>
      </c>
      <c r="G245" s="44">
        <v>1</v>
      </c>
      <c r="H245" s="44">
        <v>1</v>
      </c>
      <c r="I245" s="44">
        <v>1</v>
      </c>
      <c r="J245" s="44">
        <v>1</v>
      </c>
      <c r="K245" s="44">
        <v>1</v>
      </c>
      <c r="L245" s="44">
        <v>1</v>
      </c>
      <c r="M245" s="44">
        <v>1</v>
      </c>
      <c r="N245" s="44">
        <v>1</v>
      </c>
      <c r="O245" s="44">
        <v>1</v>
      </c>
      <c r="P245" s="44">
        <v>1</v>
      </c>
      <c r="Q245" s="44">
        <v>1</v>
      </c>
    </row>
    <row r="246" spans="1:17" ht="45">
      <c r="A246" s="22" t="s">
        <v>217</v>
      </c>
      <c r="B246" s="12" t="s">
        <v>32</v>
      </c>
      <c r="C246" s="64">
        <v>1</v>
      </c>
      <c r="D246" s="44">
        <v>1</v>
      </c>
      <c r="E246" s="44">
        <v>1</v>
      </c>
      <c r="F246" s="44">
        <v>1</v>
      </c>
      <c r="G246" s="44">
        <v>1</v>
      </c>
      <c r="H246" s="44">
        <v>1</v>
      </c>
      <c r="I246" s="44">
        <v>1</v>
      </c>
      <c r="J246" s="44">
        <v>1</v>
      </c>
      <c r="K246" s="44">
        <v>1</v>
      </c>
      <c r="L246" s="44">
        <v>1</v>
      </c>
      <c r="M246" s="44">
        <v>1</v>
      </c>
      <c r="N246" s="44">
        <v>1</v>
      </c>
      <c r="O246" s="44">
        <v>1</v>
      </c>
      <c r="P246" s="44">
        <v>1</v>
      </c>
      <c r="Q246" s="44">
        <v>1</v>
      </c>
    </row>
    <row r="247" spans="1:17" ht="22.5">
      <c r="A247" s="40" t="s">
        <v>218</v>
      </c>
      <c r="B247" s="82"/>
      <c r="C247" s="84">
        <v>1</v>
      </c>
      <c r="D247" s="84">
        <v>1</v>
      </c>
      <c r="E247" s="84">
        <v>1</v>
      </c>
      <c r="F247" s="84">
        <v>1</v>
      </c>
      <c r="G247" s="71">
        <v>1</v>
      </c>
      <c r="H247" s="71">
        <v>1</v>
      </c>
      <c r="I247" s="71">
        <v>1</v>
      </c>
      <c r="J247" s="71">
        <v>1</v>
      </c>
      <c r="K247" s="71">
        <v>1</v>
      </c>
      <c r="L247" s="71">
        <v>1</v>
      </c>
      <c r="M247" s="71">
        <v>1</v>
      </c>
      <c r="N247" s="71">
        <v>1</v>
      </c>
      <c r="O247" s="71">
        <v>1</v>
      </c>
      <c r="P247" s="71">
        <v>1</v>
      </c>
      <c r="Q247" s="71">
        <v>1</v>
      </c>
    </row>
    <row r="248" spans="1:17">
      <c r="A248" s="41" t="s">
        <v>219</v>
      </c>
      <c r="B248" s="82"/>
      <c r="C248" s="84"/>
      <c r="D248" s="84"/>
      <c r="E248" s="84"/>
      <c r="F248" s="84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</row>
    <row r="249" spans="1:17">
      <c r="A249" s="42"/>
      <c r="B249" s="82"/>
      <c r="C249" s="84"/>
      <c r="D249" s="84"/>
      <c r="E249" s="84"/>
      <c r="F249" s="84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</row>
  </sheetData>
  <mergeCells count="91">
    <mergeCell ref="P247:P249"/>
    <mergeCell ref="Q247:Q249"/>
    <mergeCell ref="J247:J249"/>
    <mergeCell ref="K247:K249"/>
    <mergeCell ref="L247:L249"/>
    <mergeCell ref="M247:M249"/>
    <mergeCell ref="N247:N249"/>
    <mergeCell ref="O247:O249"/>
    <mergeCell ref="G247:G249"/>
    <mergeCell ref="H247:H249"/>
    <mergeCell ref="I247:I249"/>
    <mergeCell ref="B86:B87"/>
    <mergeCell ref="A117:A118"/>
    <mergeCell ref="A124:A125"/>
    <mergeCell ref="B124:B125"/>
    <mergeCell ref="B131:B132"/>
    <mergeCell ref="A228:A229"/>
    <mergeCell ref="B228:B229"/>
    <mergeCell ref="B247:B249"/>
    <mergeCell ref="C247:C249"/>
    <mergeCell ref="D247:D249"/>
    <mergeCell ref="E247:E249"/>
    <mergeCell ref="F247:F249"/>
    <mergeCell ref="C117:C118"/>
    <mergeCell ref="A2:Q3"/>
    <mergeCell ref="B26:B28"/>
    <mergeCell ref="B32:B33"/>
    <mergeCell ref="B56:B57"/>
    <mergeCell ref="L7:L9"/>
    <mergeCell ref="M7:M9"/>
    <mergeCell ref="N7:N9"/>
    <mergeCell ref="O7:O9"/>
    <mergeCell ref="P7:P9"/>
    <mergeCell ref="Q7:Q9"/>
    <mergeCell ref="A4:A9"/>
    <mergeCell ref="B67:B68"/>
    <mergeCell ref="H7:H9"/>
    <mergeCell ref="I7:I9"/>
    <mergeCell ref="J7:J9"/>
    <mergeCell ref="K7:K9"/>
    <mergeCell ref="B4:B9"/>
    <mergeCell ref="C4:C9"/>
    <mergeCell ref="D4:D9"/>
    <mergeCell ref="E7:E9"/>
    <mergeCell ref="F7:F9"/>
    <mergeCell ref="G7:G9"/>
    <mergeCell ref="E4:Q6"/>
    <mergeCell ref="K117:K118"/>
    <mergeCell ref="L117:L118"/>
    <mergeCell ref="M117:M118"/>
    <mergeCell ref="D117:D118"/>
    <mergeCell ref="E117:E118"/>
    <mergeCell ref="F117:F118"/>
    <mergeCell ref="G117:G118"/>
    <mergeCell ref="H117:H118"/>
    <mergeCell ref="P117:P118"/>
    <mergeCell ref="Q117:Q118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I117:I118"/>
    <mergeCell ref="J117:J118"/>
    <mergeCell ref="M228:M229"/>
    <mergeCell ref="N228:N229"/>
    <mergeCell ref="O228:O229"/>
    <mergeCell ref="N117:N118"/>
    <mergeCell ref="O117:O118"/>
    <mergeCell ref="H228:H229"/>
    <mergeCell ref="I228:I229"/>
    <mergeCell ref="J228:J229"/>
    <mergeCell ref="K228:K229"/>
    <mergeCell ref="L228:L229"/>
    <mergeCell ref="C228:C229"/>
    <mergeCell ref="D228:D229"/>
    <mergeCell ref="E228:E229"/>
    <mergeCell ref="F228:F229"/>
    <mergeCell ref="G228:G229"/>
    <mergeCell ref="P228:P229"/>
    <mergeCell ref="Q228:Q229"/>
    <mergeCell ref="O124:O125"/>
    <mergeCell ref="P124:P125"/>
    <mergeCell ref="Q124:Q125"/>
  </mergeCells>
  <pageMargins left="0.31496062992125984" right="0.19685039370078741" top="0.35433070866141736" bottom="0.35433070866141736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Айшат_ХМ</dc:creator>
  <cp:lastModifiedBy>Хадижат</cp:lastModifiedBy>
  <cp:lastPrinted>2015-12-04T08:45:12Z</cp:lastPrinted>
  <dcterms:created xsi:type="dcterms:W3CDTF">2015-12-04T06:05:51Z</dcterms:created>
  <dcterms:modified xsi:type="dcterms:W3CDTF">2016-04-04T08:24:09Z</dcterms:modified>
</cp:coreProperties>
</file>